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melavirotte/Library/Mobile Documents/com~apple~CloudDocs/Desktop/societé ESY/informatique/prévision budget énergie/"/>
    </mc:Choice>
  </mc:AlternateContent>
  <xr:revisionPtr revIDLastSave="0" documentId="13_ncr:1_{2D6338B8-69D1-4948-85CA-C2A452FFEC1B}" xr6:coauthVersionLast="47" xr6:coauthVersionMax="47" xr10:uidLastSave="{00000000-0000-0000-0000-000000000000}"/>
  <bookViews>
    <workbookView xWindow="140" yWindow="760" windowWidth="29940" windowHeight="18800" tabRatio="823" xr2:uid="{00000000-000D-0000-FFFF-FFFF00000000}"/>
  </bookViews>
  <sheets>
    <sheet name="Fichier E et S" sheetId="13" r:id="rId1"/>
    <sheet name="Fourniture" sheetId="10" state="hidden" r:id="rId2"/>
    <sheet name="Acheminement HTA" sheetId="18" state="hidden" r:id="rId3"/>
    <sheet name="Acheminement BTSUP" sheetId="12" state="hidden" r:id="rId4"/>
    <sheet name="Acheminement BTINF" sheetId="19" state="hidden" r:id="rId5"/>
    <sheet name="Taxe et Contribution" sheetId="14" state="hidden" r:id="rId6"/>
    <sheet name="Table" sheetId="15" state="hidden" r:id="rId7"/>
  </sheets>
  <definedNames>
    <definedName name="BTinf">Table!$D$2:$D$6</definedName>
    <definedName name="BTing">Table!$D$2:$D$6</definedName>
    <definedName name="BTsup">Table!$E$2:$E$3</definedName>
    <definedName name="Cadre">Table!$H$2:$H$3</definedName>
    <definedName name="HTA">Table!$F$2:$F$5</definedName>
    <definedName name="liste_btinf">Table!$D$2:$D$6</definedName>
    <definedName name="liste_btsup">Table!$E$2:$E$3</definedName>
    <definedName name="liste_hta">Table!$F$2:$F$3</definedName>
    <definedName name="liste_segment">Table!$B$2:$B$4</definedName>
    <definedName name="Segment">'Fichier E et S'!#REF!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10" l="1"/>
  <c r="H4" i="19" l="1"/>
  <c r="B29" i="19" s="1"/>
  <c r="B26" i="19" l="1"/>
  <c r="B3" i="12"/>
  <c r="D3" i="12"/>
  <c r="E3" i="12"/>
  <c r="F3" i="12"/>
  <c r="G3" i="12"/>
  <c r="D4" i="12"/>
  <c r="E4" i="12"/>
  <c r="F4" i="12"/>
  <c r="G4" i="12"/>
  <c r="I3" i="12"/>
  <c r="C7" i="12" s="1"/>
  <c r="B3" i="19"/>
  <c r="C3" i="19"/>
  <c r="J3" i="19"/>
  <c r="C7" i="19" s="1"/>
  <c r="D4" i="19"/>
  <c r="E4" i="19"/>
  <c r="F4" i="19"/>
  <c r="G4" i="19"/>
  <c r="C2" i="14"/>
  <c r="C3" i="18"/>
  <c r="B3" i="18"/>
  <c r="D3" i="18"/>
  <c r="E3" i="18"/>
  <c r="F3" i="18"/>
  <c r="G3" i="18"/>
  <c r="I3" i="18"/>
  <c r="C7" i="18" s="1"/>
  <c r="C4" i="18"/>
  <c r="D4" i="18"/>
  <c r="E4" i="18"/>
  <c r="F4" i="18"/>
  <c r="G12" i="10"/>
  <c r="G3" i="10"/>
  <c r="H12" i="10"/>
  <c r="H3" i="10"/>
  <c r="I12" i="10"/>
  <c r="I3" i="10"/>
  <c r="J12" i="10"/>
  <c r="D3" i="10"/>
  <c r="K12" i="10"/>
  <c r="E3" i="10"/>
  <c r="L12" i="10"/>
  <c r="F3" i="10"/>
  <c r="M12" i="10"/>
  <c r="N12" i="10"/>
  <c r="O12" i="10"/>
  <c r="P12" i="10"/>
  <c r="Q12" i="10"/>
  <c r="D12" i="10"/>
  <c r="E12" i="10"/>
  <c r="F12" i="10"/>
  <c r="B3" i="10"/>
  <c r="A3" i="10"/>
  <c r="G4" i="18"/>
  <c r="B25" i="18" l="1"/>
  <c r="B30" i="19"/>
  <c r="B20" i="12"/>
  <c r="B17" i="12"/>
  <c r="B19" i="12"/>
  <c r="C6" i="14"/>
  <c r="M20" i="10"/>
  <c r="B16" i="18"/>
  <c r="O20" i="10"/>
  <c r="J20" i="10"/>
  <c r="K20" i="10"/>
  <c r="L20" i="10"/>
  <c r="N20" i="10"/>
  <c r="D20" i="10"/>
  <c r="G20" i="10"/>
  <c r="F20" i="10"/>
  <c r="H20" i="10"/>
  <c r="E20" i="10"/>
  <c r="I20" i="10"/>
  <c r="B21" i="19"/>
  <c r="B20" i="18"/>
  <c r="B28" i="18"/>
  <c r="B29" i="18"/>
  <c r="B28" i="12"/>
  <c r="B17" i="18"/>
  <c r="B18" i="18"/>
  <c r="B26" i="18"/>
  <c r="B27" i="18"/>
  <c r="B19" i="18"/>
  <c r="B27" i="12"/>
  <c r="B26" i="12"/>
  <c r="B29" i="12"/>
  <c r="B18" i="12"/>
  <c r="B27" i="19"/>
  <c r="B25" i="19"/>
  <c r="J3" i="10"/>
  <c r="P20" i="10" s="1"/>
  <c r="B28" i="19"/>
  <c r="B21" i="12" l="1"/>
  <c r="C35" i="12" s="1"/>
  <c r="C35" i="19"/>
  <c r="C48" i="19"/>
  <c r="B30" i="12"/>
  <c r="C13" i="19"/>
  <c r="C45" i="19" s="1"/>
  <c r="B30" i="18"/>
  <c r="B21" i="18"/>
  <c r="Q20" i="10"/>
  <c r="R20" i="10" s="1"/>
  <c r="B51" i="13" s="1"/>
  <c r="C13" i="12" l="1"/>
  <c r="C45" i="12" s="1"/>
  <c r="C48" i="12" s="1"/>
  <c r="C40" i="12" s="1"/>
  <c r="S20" i="10"/>
  <c r="B54" i="13" s="1"/>
  <c r="C40" i="19"/>
  <c r="C13" i="18"/>
  <c r="C45" i="18" s="1"/>
  <c r="C35" i="18"/>
  <c r="C4" i="14" s="1"/>
  <c r="C10" i="14" s="1"/>
  <c r="C51" i="13" l="1"/>
  <c r="C48" i="18"/>
  <c r="C40" i="18" s="1"/>
  <c r="C8" i="14"/>
  <c r="D54" i="13"/>
  <c r="D51" i="13"/>
  <c r="C54" i="13" l="1"/>
  <c r="E54" i="13" s="1"/>
  <c r="E51" i="13"/>
</calcChain>
</file>

<file path=xl/sharedStrings.xml><?xml version="1.0" encoding="utf-8"?>
<sst xmlns="http://schemas.openxmlformats.org/spreadsheetml/2006/main" count="348" uniqueCount="132">
  <si>
    <t>Energie</t>
  </si>
  <si>
    <t>Capacité</t>
  </si>
  <si>
    <t>Energie Verte</t>
  </si>
  <si>
    <t>CEE</t>
  </si>
  <si>
    <t>TOTAL HTVA</t>
  </si>
  <si>
    <t>€ HTT/MWh</t>
  </si>
  <si>
    <t>kW/MWh</t>
  </si>
  <si>
    <t>€HTT/an</t>
  </si>
  <si>
    <t>€HTVA/an</t>
  </si>
  <si>
    <t>FTA</t>
  </si>
  <si>
    <t>Segment</t>
  </si>
  <si>
    <t>Base
(kWh)</t>
  </si>
  <si>
    <t>€/an</t>
  </si>
  <si>
    <t xml:space="preserve">Coût PTE                      </t>
  </si>
  <si>
    <t xml:space="preserve">Coût HPH               </t>
  </si>
  <si>
    <t xml:space="preserve">Coût HCH              </t>
  </si>
  <si>
    <t xml:space="preserve">Coût HPE              </t>
  </si>
  <si>
    <t xml:space="preserve">Coût HCE           </t>
  </si>
  <si>
    <t>Coût Base</t>
  </si>
  <si>
    <t>Capa PTE</t>
  </si>
  <si>
    <t xml:space="preserve">Capa HPH               </t>
  </si>
  <si>
    <t xml:space="preserve">Capa HCH              </t>
  </si>
  <si>
    <t>Capa HPE</t>
  </si>
  <si>
    <t>Capa HCE</t>
  </si>
  <si>
    <t>Surcoût En. Verte</t>
  </si>
  <si>
    <t>PrixEnchèreCapacité (€/kW)</t>
  </si>
  <si>
    <t>P</t>
  </si>
  <si>
    <t>HTA</t>
  </si>
  <si>
    <t>Acheminement</t>
  </si>
  <si>
    <t>TOTAL</t>
  </si>
  <si>
    <t>Fourniture</t>
  </si>
  <si>
    <t>P (kVA)</t>
  </si>
  <si>
    <t>HPH</t>
  </si>
  <si>
    <t>HCH</t>
  </si>
  <si>
    <t>HPB</t>
  </si>
  <si>
    <t>HCB</t>
  </si>
  <si>
    <t>Consommation (kWh)</t>
  </si>
  <si>
    <t>Coefficient Pondérateur de puissance (bi)</t>
  </si>
  <si>
    <t>Calcul de la composante annuelle de Soutirage (CS)</t>
  </si>
  <si>
    <t>€/kVA/an</t>
  </si>
  <si>
    <t>CU</t>
  </si>
  <si>
    <t>Composante de soutirage fixe</t>
  </si>
  <si>
    <t>LU</t>
  </si>
  <si>
    <t>P1</t>
  </si>
  <si>
    <t>P2</t>
  </si>
  <si>
    <t>Coefficient pondérateur de l'énergie (ci)</t>
  </si>
  <si>
    <t>P3</t>
  </si>
  <si>
    <t>c€/kWh</t>
  </si>
  <si>
    <t>P4</t>
  </si>
  <si>
    <t>Composante de soutirage variable</t>
  </si>
  <si>
    <t>Utilisateur en CARD /an</t>
  </si>
  <si>
    <t>Utilisateur en contrat unique €/an</t>
  </si>
  <si>
    <t>La composante annuelle de comptage (CC)</t>
  </si>
  <si>
    <t>Comptage propriété AODE</t>
  </si>
  <si>
    <t>CTA 21,93%</t>
  </si>
  <si>
    <t xml:space="preserve">TVA </t>
  </si>
  <si>
    <t>TVA à 20%</t>
  </si>
  <si>
    <t>TOTAL HT</t>
  </si>
  <si>
    <t>TOTAL TTC</t>
  </si>
  <si>
    <t>Nom du site</t>
  </si>
  <si>
    <t>Numero PDL</t>
  </si>
  <si>
    <t>Puissance souscrite</t>
  </si>
  <si>
    <t>Version tarifaire</t>
  </si>
  <si>
    <t>HPE</t>
  </si>
  <si>
    <t>HCE</t>
  </si>
  <si>
    <t>Base</t>
  </si>
  <si>
    <t>Budget TOTAL</t>
  </si>
  <si>
    <t>Conso P
(kWh)</t>
  </si>
  <si>
    <t>Consommation prévisionnelles (kWh)</t>
  </si>
  <si>
    <t>CTA</t>
  </si>
  <si>
    <t>Accise sur l'electricité</t>
  </si>
  <si>
    <t>Taxe &amp; contribtuion</t>
  </si>
  <si>
    <t>BTsup</t>
  </si>
  <si>
    <t>BTinf</t>
  </si>
  <si>
    <t>CU 4</t>
  </si>
  <si>
    <t>MU 4</t>
  </si>
  <si>
    <t>MU DT</t>
  </si>
  <si>
    <t>Energie verte</t>
  </si>
  <si>
    <t xml:space="preserve">Sortie </t>
  </si>
  <si>
    <t>CARD</t>
  </si>
  <si>
    <t>Unique</t>
  </si>
  <si>
    <t>Cadre</t>
  </si>
  <si>
    <t>La composante annuelle de gestion (CG)</t>
  </si>
  <si>
    <t xml:space="preserve"> </t>
  </si>
  <si>
    <t>CUPF</t>
  </si>
  <si>
    <t>CUPM</t>
  </si>
  <si>
    <t>LUPF</t>
  </si>
  <si>
    <t>LUPM</t>
  </si>
  <si>
    <t>P5</t>
  </si>
  <si>
    <t>Base (kVA)</t>
  </si>
  <si>
    <t>Abonnement</t>
  </si>
  <si>
    <t>Partie contractuel du contrat</t>
  </si>
  <si>
    <t>Calcul</t>
  </si>
  <si>
    <t>Capa Base</t>
  </si>
  <si>
    <t>Total Annuel HTVA</t>
  </si>
  <si>
    <t>Conso HCH (kWh)</t>
  </si>
  <si>
    <t>PS Max</t>
  </si>
  <si>
    <t>TOTAL Conso</t>
  </si>
  <si>
    <t>Conso HPH (kWh)</t>
  </si>
  <si>
    <t>Conso HPE (kWh)</t>
  </si>
  <si>
    <t>Conso HCE (kWh)</t>
  </si>
  <si>
    <t>Coefficient de sécurité</t>
  </si>
  <si>
    <t>Prix de l'énergie (€/MWh)</t>
  </si>
  <si>
    <t>Prix de la capacité (kW/MWh)</t>
  </si>
  <si>
    <t>BTINF</t>
  </si>
  <si>
    <t>BTSUP</t>
  </si>
  <si>
    <t>Puissance souscrite (kVA)</t>
  </si>
  <si>
    <t>TTC</t>
  </si>
  <si>
    <t>HT</t>
  </si>
  <si>
    <t>€TTC/an</t>
  </si>
  <si>
    <t>Total Annuel TTC</t>
  </si>
  <si>
    <t>TVA CTA + Accise</t>
  </si>
  <si>
    <t xml:space="preserve">1. Caractéristiques du PDL </t>
  </si>
  <si>
    <t>Données d'entrée</t>
  </si>
  <si>
    <t>Résultats</t>
  </si>
  <si>
    <t>Cellules rouges à laisser vides</t>
  </si>
  <si>
    <t xml:space="preserve">          Données à sélectionner</t>
  </si>
  <si>
    <t xml:space="preserve">           Données à remplir</t>
  </si>
  <si>
    <t>Caractéristique technique</t>
  </si>
  <si>
    <t>Consommation</t>
  </si>
  <si>
    <t>A retrouver sur vos contrats/factures. Les prix peuvent varier d'une année à l'autre et peuvent être indexés. 
Les prix ont une durée, une date de début et une date de fin</t>
  </si>
  <si>
    <t>Abonnement annuel (€/MWh)</t>
  </si>
  <si>
    <t>Taxe et contribution</t>
  </si>
  <si>
    <t>Energie verte et CEE</t>
  </si>
  <si>
    <t xml:space="preserve">2. Caractéristiques budgétaires </t>
  </si>
  <si>
    <t>Informations</t>
  </si>
  <si>
    <t>A retrouver dans vos factures/contrats. Nous pouvons les distinguer en 3 groupes: 
- Le segement et la version tarifaire
- Les puissances souscrites
- Contrat : Unique, CARD ou CART
 Ils peuvent évoluer en fonction de votre besoin et influent les prix de la fourniture et de l'acheminement</t>
  </si>
  <si>
    <t>Ces données sont à retrouver dans vos factures ou dans vos contrats. Cet exercice peut être chronophage et imprécis. ESY peut récupérer les données auprès d'Enedis directement en pas 5/10 minutes ou par mois pour vous. 
Théoriquement, nous pouvons remonter 5 ans en arrière.</t>
  </si>
  <si>
    <t>L'énergie verte est additionnelle. Elle peut être achetée à des prix inférieurs auprès de grossiste (demander à ESY).
CEE: En fonction de votre code NAF, vous êtes redevable de payer les CEE (Certificat d'Economie d'Energie)</t>
  </si>
  <si>
    <t xml:space="preserve">Ce calcul ne prend pas en compte les dépassements. 
L'acheminement peut être optimisé via un moteur tarifaire (demander à ESY) pour que les caractéristiques techniques correspondent au plus proche de votre profil de consommation.  </t>
  </si>
  <si>
    <t>En fonction de votre activité (code NAF), vous pouvez prétendre à une exonération ou réduction de taxe</t>
  </si>
  <si>
    <t>Attention aux unités et de ce qu'il y a indiqué dans vos contrats. Le tableur prend un enchère de capacité de 28€/kW et un coefficient de capacité de 0,99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</si>
</sst>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 * #,##0.00_)\ &quot;€&quot;_ ;_ * \(#,##0.00\)\ &quot;€&quot;_ ;_ * &quot;-&quot;??_)\ &quot;€&quot;_ ;_ @_ "/>
    <numFmt numFmtId="164" formatCode="#"/>
    <numFmt numFmtId="165" formatCode="#,##0.00\ &quot;€&quot;"/>
    <numFmt numFmtId="166" formatCode="dd/mm/yy;@"/>
    <numFmt numFmtId="167" formatCode="General\ &quot;kWh&quot;"/>
    <numFmt numFmtId="168" formatCode="General\ &quot;kVA&quot;"/>
    <numFmt numFmtId="169" formatCode="General\ &quot;€/MWh&quot;"/>
    <numFmt numFmtId="170" formatCode="General\ &quot;kW/MWh&quot;"/>
    <numFmt numFmtId="171" formatCode="General\ &quot;€/an&quot;"/>
  </numFmts>
  <fonts count="3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rgb="FFFFFFFF"/>
      <name val="Arial"/>
      <family val="2"/>
      <charset val="1"/>
    </font>
    <font>
      <sz val="12"/>
      <name val="Times New Roman"/>
      <family val="1"/>
    </font>
    <font>
      <sz val="10"/>
      <color theme="1"/>
      <name val="Arial"/>
      <family val="2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4"/>
      <color theme="0"/>
      <name val="Century Gothic"/>
      <family val="2"/>
    </font>
    <font>
      <b/>
      <sz val="28"/>
      <color theme="0"/>
      <name val="Century Gothic"/>
      <family val="2"/>
    </font>
    <font>
      <sz val="12"/>
      <color theme="0"/>
      <name val="Century Gothic"/>
      <family val="2"/>
    </font>
    <font>
      <b/>
      <sz val="18"/>
      <color theme="0"/>
      <name val="Century Gothic"/>
      <family val="2"/>
    </font>
    <font>
      <b/>
      <sz val="22"/>
      <color theme="0"/>
      <name val="Century Gothic"/>
      <family val="2"/>
    </font>
    <font>
      <b/>
      <sz val="12"/>
      <color theme="1"/>
      <name val="Century Gothic"/>
      <family val="2"/>
    </font>
    <font>
      <b/>
      <sz val="12"/>
      <color rgb="FF680000"/>
      <name val="Century Gothic"/>
      <family val="2"/>
    </font>
    <font>
      <sz val="11"/>
      <color rgb="FF000000"/>
      <name val="Arial"/>
      <family val="2"/>
    </font>
    <font>
      <sz val="12"/>
      <color rgb="FFFF0000"/>
      <name val="Calibri"/>
      <family val="2"/>
      <scheme val="minor"/>
    </font>
    <font>
      <sz val="12"/>
      <color rgb="FFFF0000"/>
      <name val="Century Gothic"/>
      <family val="2"/>
    </font>
    <font>
      <sz val="11"/>
      <color rgb="FFFF0000"/>
      <name val="Arial"/>
      <family val="2"/>
    </font>
    <font>
      <b/>
      <u/>
      <sz val="11"/>
      <color rgb="FFFF0000"/>
      <name val="Arial"/>
      <family val="2"/>
    </font>
    <font>
      <u/>
      <sz val="12"/>
      <color rgb="FFFF0000"/>
      <name val="Calibri"/>
      <family val="2"/>
      <scheme val="minor"/>
    </font>
    <font>
      <u/>
      <sz val="11"/>
      <color rgb="FFFF0000"/>
      <name val="Arial"/>
      <family val="2"/>
    </font>
    <font>
      <sz val="12"/>
      <color rgb="FF000000"/>
      <name val="Century Gothic"/>
      <family val="2"/>
    </font>
    <font>
      <b/>
      <sz val="13"/>
      <color theme="0"/>
      <name val="Century Gothic"/>
      <family val="2"/>
    </font>
    <font>
      <sz val="11"/>
      <color theme="0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rgb="FF00B0F0"/>
        <bgColor rgb="FF009999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EA9DB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EAAAA"/>
        <bgColor rgb="FF000000"/>
      </patternFill>
    </fill>
    <fill>
      <patternFill patternType="solid">
        <fgColor theme="4" tint="0.59999389629810485"/>
        <bgColor rgb="FF009999"/>
      </patternFill>
    </fill>
    <fill>
      <patternFill patternType="solid">
        <fgColor theme="5"/>
        <bgColor indexed="64"/>
      </patternFill>
    </fill>
    <fill>
      <patternFill patternType="solid">
        <fgColor rgb="FFF0E3CC"/>
        <bgColor indexed="64"/>
      </patternFill>
    </fill>
    <fill>
      <patternFill patternType="solid">
        <fgColor rgb="FF739FF8"/>
        <bgColor indexed="64"/>
      </patternFill>
    </fill>
    <fill>
      <patternFill patternType="solid">
        <fgColor rgb="FFDBE6FD"/>
        <bgColor indexed="64"/>
      </patternFill>
    </fill>
    <fill>
      <patternFill patternType="solid">
        <fgColor rgb="FFBAD0FC"/>
        <bgColor indexed="64"/>
      </patternFill>
    </fill>
    <fill>
      <patternFill patternType="solid">
        <fgColor rgb="FF477EC0"/>
        <bgColor indexed="64"/>
      </patternFill>
    </fill>
    <fill>
      <patternFill patternType="solid">
        <fgColor rgb="FF261F77"/>
        <bgColor indexed="64"/>
      </patternFill>
    </fill>
    <fill>
      <patternFill patternType="solid">
        <fgColor rgb="FF1ACAD4"/>
        <bgColor indexed="64"/>
      </patternFill>
    </fill>
    <fill>
      <patternFill patternType="solid">
        <fgColor rgb="FFF36C0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77EC0"/>
        <bgColor rgb="FF006E35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medium">
        <color theme="0"/>
      </bottom>
      <diagonal/>
    </border>
    <border>
      <left/>
      <right/>
      <top style="thick">
        <color theme="0"/>
      </top>
      <bottom style="medium">
        <color theme="0"/>
      </bottom>
      <diagonal/>
    </border>
    <border>
      <left/>
      <right style="thin">
        <color theme="0"/>
      </right>
      <top style="thick">
        <color theme="0"/>
      </top>
      <bottom style="medium">
        <color theme="0"/>
      </bottom>
      <diagonal/>
    </border>
  </borders>
  <cellStyleXfs count="29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1" xfId="0" applyBorder="1"/>
    <xf numFmtId="44" fontId="0" fillId="3" borderId="1" xfId="1" applyFont="1" applyFill="1" applyBorder="1"/>
    <xf numFmtId="44" fontId="0" fillId="0" borderId="1" xfId="1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top" wrapText="1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wrapText="1"/>
    </xf>
    <xf numFmtId="166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9" fontId="0" fillId="0" borderId="0" xfId="3" applyFont="1"/>
    <xf numFmtId="44" fontId="0" fillId="0" borderId="0" xfId="0" applyNumberFormat="1"/>
    <xf numFmtId="0" fontId="0" fillId="0" borderId="7" xfId="0" applyBorder="1"/>
    <xf numFmtId="0" fontId="0" fillId="5" borderId="1" xfId="0" applyFill="1" applyBorder="1"/>
    <xf numFmtId="44" fontId="0" fillId="6" borderId="1" xfId="1" applyFont="1" applyFill="1" applyBorder="1"/>
    <xf numFmtId="44" fontId="0" fillId="0" borderId="1" xfId="1" applyFont="1" applyBorder="1" applyAlignment="1">
      <alignment wrapText="1"/>
    </xf>
    <xf numFmtId="44" fontId="0" fillId="0" borderId="1" xfId="1" applyFont="1" applyFill="1" applyBorder="1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44" fontId="0" fillId="0" borderId="1" xfId="1" applyFont="1" applyBorder="1" applyAlignment="1">
      <alignment horizontal="center"/>
    </xf>
    <xf numFmtId="44" fontId="0" fillId="6" borderId="1" xfId="1" applyFont="1" applyFill="1" applyBorder="1" applyAlignment="1">
      <alignment horizontal="center"/>
    </xf>
    <xf numFmtId="0" fontId="0" fillId="7" borderId="1" xfId="0" applyFill="1" applyBorder="1"/>
    <xf numFmtId="44" fontId="0" fillId="7" borderId="1" xfId="0" applyNumberForma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5" borderId="2" xfId="0" applyFill="1" applyBorder="1"/>
    <xf numFmtId="0" fontId="6" fillId="4" borderId="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12" borderId="14" xfId="0" applyFont="1" applyFill="1" applyBorder="1" applyAlignment="1">
      <alignment horizontal="center" vertical="center"/>
    </xf>
    <xf numFmtId="0" fontId="6" fillId="4" borderId="1" xfId="0" applyFont="1" applyFill="1" applyBorder="1"/>
    <xf numFmtId="0" fontId="6" fillId="4" borderId="5" xfId="0" applyFont="1" applyFill="1" applyBorder="1"/>
    <xf numFmtId="0" fontId="6" fillId="0" borderId="15" xfId="0" applyFont="1" applyBorder="1"/>
    <xf numFmtId="0" fontId="6" fillId="0" borderId="14" xfId="0" applyFont="1" applyBorder="1"/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4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164" fontId="13" fillId="5" borderId="1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164" fontId="13" fillId="5" borderId="3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/>
    <xf numFmtId="0" fontId="11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0" fillId="11" borderId="1" xfId="0" applyFill="1" applyBorder="1"/>
    <xf numFmtId="0" fontId="12" fillId="5" borderId="3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2" fillId="7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15" borderId="0" xfId="0" applyFont="1" applyFill="1" applyAlignment="1">
      <alignment horizontal="center" vertical="center"/>
    </xf>
    <xf numFmtId="0" fontId="15" fillId="16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5" fillId="18" borderId="28" xfId="0" applyFont="1" applyFill="1" applyBorder="1" applyAlignment="1">
      <alignment horizontal="center" vertical="center"/>
    </xf>
    <xf numFmtId="0" fontId="15" fillId="18" borderId="29" xfId="0" applyFont="1" applyFill="1" applyBorder="1" applyAlignment="1">
      <alignment horizontal="center" vertical="center"/>
    </xf>
    <xf numFmtId="167" fontId="15" fillId="18" borderId="29" xfId="0" applyNumberFormat="1" applyFont="1" applyFill="1" applyBorder="1" applyAlignment="1">
      <alignment horizontal="center" vertical="center"/>
    </xf>
    <xf numFmtId="167" fontId="15" fillId="18" borderId="30" xfId="0" applyNumberFormat="1" applyFont="1" applyFill="1" applyBorder="1" applyAlignment="1">
      <alignment horizontal="center" vertical="center"/>
    </xf>
    <xf numFmtId="168" fontId="15" fillId="18" borderId="29" xfId="0" applyNumberFormat="1" applyFont="1" applyFill="1" applyBorder="1" applyAlignment="1">
      <alignment horizontal="center" vertical="center"/>
    </xf>
    <xf numFmtId="169" fontId="15" fillId="18" borderId="29" xfId="0" applyNumberFormat="1" applyFont="1" applyFill="1" applyBorder="1" applyAlignment="1">
      <alignment horizontal="center" vertical="center"/>
    </xf>
    <xf numFmtId="169" fontId="15" fillId="18" borderId="30" xfId="0" applyNumberFormat="1" applyFont="1" applyFill="1" applyBorder="1" applyAlignment="1">
      <alignment horizontal="center" vertical="center"/>
    </xf>
    <xf numFmtId="170" fontId="15" fillId="18" borderId="29" xfId="0" applyNumberFormat="1" applyFont="1" applyFill="1" applyBorder="1" applyAlignment="1">
      <alignment horizontal="center" vertical="center"/>
    </xf>
    <xf numFmtId="170" fontId="15" fillId="18" borderId="30" xfId="0" applyNumberFormat="1" applyFont="1" applyFill="1" applyBorder="1" applyAlignment="1">
      <alignment horizontal="center" vertical="center"/>
    </xf>
    <xf numFmtId="169" fontId="15" fillId="17" borderId="28" xfId="0" applyNumberFormat="1" applyFont="1" applyFill="1" applyBorder="1" applyAlignment="1">
      <alignment horizontal="center" vertical="center"/>
    </xf>
    <xf numFmtId="169" fontId="15" fillId="17" borderId="3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0" xfId="0" applyFont="1"/>
    <xf numFmtId="0" fontId="7" fillId="0" borderId="0" xfId="28"/>
    <xf numFmtId="0" fontId="0" fillId="0" borderId="3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16" fillId="20" borderId="27" xfId="0" applyFont="1" applyFill="1" applyBorder="1" applyAlignment="1">
      <alignment horizontal="center" vertical="center"/>
    </xf>
    <xf numFmtId="0" fontId="22" fillId="21" borderId="29" xfId="0" applyFont="1" applyFill="1" applyBorder="1" applyAlignment="1">
      <alignment horizontal="center" vertical="center"/>
    </xf>
    <xf numFmtId="0" fontId="22" fillId="21" borderId="30" xfId="0" applyFont="1" applyFill="1" applyBorder="1" applyAlignment="1">
      <alignment horizontal="center" vertical="center"/>
    </xf>
    <xf numFmtId="0" fontId="22" fillId="21" borderId="17" xfId="0" applyFont="1" applyFill="1" applyBorder="1" applyAlignment="1">
      <alignment horizontal="center" vertical="center"/>
    </xf>
    <xf numFmtId="165" fontId="26" fillId="3" borderId="0" xfId="1" applyNumberFormat="1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7" fillId="0" borderId="0" xfId="0" applyFont="1"/>
    <xf numFmtId="0" fontId="25" fillId="0" borderId="0" xfId="0" applyFont="1"/>
    <xf numFmtId="0" fontId="28" fillId="0" borderId="0" xfId="0" applyFont="1"/>
    <xf numFmtId="165" fontId="26" fillId="3" borderId="0" xfId="0" applyNumberFormat="1" applyFont="1" applyFill="1" applyAlignment="1">
      <alignment horizontal="center" vertical="center"/>
    </xf>
    <xf numFmtId="0" fontId="29" fillId="0" borderId="0" xfId="28" applyFont="1"/>
    <xf numFmtId="0" fontId="30" fillId="0" borderId="0" xfId="0" applyFont="1"/>
    <xf numFmtId="0" fontId="31" fillId="23" borderId="0" xfId="0" applyFont="1" applyFill="1" applyAlignment="1">
      <alignment horizontal="center" vertical="center"/>
    </xf>
    <xf numFmtId="168" fontId="15" fillId="18" borderId="30" xfId="0" applyNumberFormat="1" applyFont="1" applyFill="1" applyBorder="1" applyAlignment="1">
      <alignment horizontal="center" vertical="center"/>
    </xf>
    <xf numFmtId="0" fontId="16" fillId="19" borderId="25" xfId="0" applyFont="1" applyFill="1" applyBorder="1" applyAlignment="1">
      <alignment horizontal="center" vertical="center"/>
    </xf>
    <xf numFmtId="0" fontId="16" fillId="19" borderId="26" xfId="0" applyFont="1" applyFill="1" applyBorder="1" applyAlignment="1">
      <alignment horizontal="center" vertical="center"/>
    </xf>
    <xf numFmtId="0" fontId="16" fillId="19" borderId="27" xfId="0" applyFont="1" applyFill="1" applyBorder="1" applyAlignment="1">
      <alignment horizontal="center" vertical="center"/>
    </xf>
    <xf numFmtId="0" fontId="16" fillId="19" borderId="31" xfId="0" applyFont="1" applyFill="1" applyBorder="1" applyAlignment="1">
      <alignment horizontal="center" vertical="center"/>
    </xf>
    <xf numFmtId="0" fontId="16" fillId="19" borderId="16" xfId="0" applyFont="1" applyFill="1" applyBorder="1" applyAlignment="1">
      <alignment horizontal="center" vertical="center"/>
    </xf>
    <xf numFmtId="0" fontId="16" fillId="19" borderId="32" xfId="0" applyFont="1" applyFill="1" applyBorder="1" applyAlignment="1">
      <alignment horizontal="center" vertical="center"/>
    </xf>
    <xf numFmtId="1" fontId="16" fillId="19" borderId="25" xfId="0" applyNumberFormat="1" applyFont="1" applyFill="1" applyBorder="1" applyAlignment="1">
      <alignment horizontal="center" vertical="center"/>
    </xf>
    <xf numFmtId="164" fontId="17" fillId="3" borderId="0" xfId="0" applyNumberFormat="1" applyFont="1" applyFill="1" applyAlignment="1">
      <alignment horizontal="center" vertical="center" wrapText="1"/>
    </xf>
    <xf numFmtId="164" fontId="32" fillId="3" borderId="0" xfId="0" applyNumberFormat="1" applyFont="1" applyFill="1" applyAlignment="1">
      <alignment horizontal="center" vertical="center" wrapText="1"/>
    </xf>
    <xf numFmtId="165" fontId="17" fillId="3" borderId="0" xfId="1" applyNumberFormat="1" applyFont="1" applyFill="1" applyBorder="1" applyAlignment="1">
      <alignment horizontal="center" vertical="center"/>
    </xf>
    <xf numFmtId="165" fontId="17" fillId="3" borderId="0" xfId="0" applyNumberFormat="1" applyFont="1" applyFill="1" applyAlignment="1">
      <alignment horizontal="center" vertical="center"/>
    </xf>
    <xf numFmtId="164" fontId="33" fillId="3" borderId="0" xfId="0" applyNumberFormat="1" applyFont="1" applyFill="1" applyAlignment="1">
      <alignment horizontal="center" vertical="center" wrapText="1"/>
    </xf>
    <xf numFmtId="165" fontId="19" fillId="3" borderId="0" xfId="1" applyNumberFormat="1" applyFont="1" applyFill="1" applyBorder="1" applyAlignment="1">
      <alignment horizontal="center" vertical="center"/>
    </xf>
    <xf numFmtId="165" fontId="19" fillId="3" borderId="0" xfId="0" applyNumberFormat="1" applyFont="1" applyFill="1" applyAlignment="1">
      <alignment horizontal="center" vertical="center"/>
    </xf>
    <xf numFmtId="0" fontId="16" fillId="19" borderId="34" xfId="0" applyFont="1" applyFill="1" applyBorder="1" applyAlignment="1">
      <alignment horizontal="center" vertical="center"/>
    </xf>
    <xf numFmtId="0" fontId="0" fillId="19" borderId="35" xfId="0" applyFill="1" applyBorder="1" applyAlignment="1">
      <alignment horizontal="center" vertical="center"/>
    </xf>
    <xf numFmtId="170" fontId="15" fillId="18" borderId="38" xfId="0" applyNumberFormat="1" applyFont="1" applyFill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17" fillId="19" borderId="36" xfId="0" applyFont="1" applyFill="1" applyBorder="1" applyAlignment="1">
      <alignment horizontal="center" vertical="center" wrapText="1"/>
    </xf>
    <xf numFmtId="0" fontId="17" fillId="19" borderId="37" xfId="0" applyFont="1" applyFill="1" applyBorder="1" applyAlignment="1">
      <alignment horizontal="center" vertical="center" wrapText="1"/>
    </xf>
    <xf numFmtId="171" fontId="15" fillId="18" borderId="18" xfId="0" applyNumberFormat="1" applyFont="1" applyFill="1" applyBorder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1" fontId="16" fillId="19" borderId="22" xfId="0" applyNumberFormat="1" applyFont="1" applyFill="1" applyBorder="1" applyAlignment="1">
      <alignment horizontal="center" vertical="center"/>
    </xf>
    <xf numFmtId="0" fontId="16" fillId="19" borderId="23" xfId="0" applyFont="1" applyFill="1" applyBorder="1" applyAlignment="1">
      <alignment horizontal="center" vertical="center"/>
    </xf>
    <xf numFmtId="0" fontId="16" fillId="19" borderId="24" xfId="0" applyFont="1" applyFill="1" applyBorder="1" applyAlignment="1">
      <alignment horizontal="center" vertical="center"/>
    </xf>
    <xf numFmtId="1" fontId="16" fillId="19" borderId="19" xfId="0" applyNumberFormat="1" applyFont="1" applyFill="1" applyBorder="1" applyAlignment="1">
      <alignment horizontal="center" vertical="center"/>
    </xf>
    <xf numFmtId="1" fontId="16" fillId="19" borderId="20" xfId="0" applyNumberFormat="1" applyFont="1" applyFill="1" applyBorder="1" applyAlignment="1">
      <alignment horizontal="center" vertical="center"/>
    </xf>
    <xf numFmtId="1" fontId="16" fillId="19" borderId="21" xfId="0" applyNumberFormat="1" applyFont="1" applyFill="1" applyBorder="1" applyAlignment="1">
      <alignment horizontal="center" vertical="center"/>
    </xf>
    <xf numFmtId="0" fontId="17" fillId="19" borderId="18" xfId="0" applyFont="1" applyFill="1" applyBorder="1" applyAlignment="1">
      <alignment horizontal="left" vertical="center" wrapText="1"/>
    </xf>
    <xf numFmtId="0" fontId="0" fillId="19" borderId="0" xfId="0" applyFill="1" applyAlignment="1">
      <alignment horizontal="left" vertical="center"/>
    </xf>
    <xf numFmtId="0" fontId="0" fillId="19" borderId="18" xfId="0" applyFill="1" applyBorder="1" applyAlignment="1">
      <alignment horizontal="left" vertical="center"/>
    </xf>
    <xf numFmtId="0" fontId="16" fillId="19" borderId="18" xfId="0" applyFont="1" applyFill="1" applyBorder="1" applyAlignment="1">
      <alignment horizontal="center" vertical="center"/>
    </xf>
    <xf numFmtId="0" fontId="0" fillId="19" borderId="0" xfId="0" applyFill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2" fillId="19" borderId="0" xfId="0" applyFont="1" applyFill="1" applyAlignment="1">
      <alignment horizontal="left" vertical="center"/>
    </xf>
    <xf numFmtId="0" fontId="22" fillId="21" borderId="0" xfId="0" applyFont="1" applyFill="1" applyAlignment="1">
      <alignment horizontal="left" vertical="center"/>
    </xf>
    <xf numFmtId="0" fontId="0" fillId="21" borderId="0" xfId="0" applyFill="1" applyAlignment="1">
      <alignment horizontal="left" vertical="center"/>
    </xf>
    <xf numFmtId="0" fontId="23" fillId="22" borderId="0" xfId="0" applyFont="1" applyFill="1" applyAlignment="1">
      <alignment horizontal="left" vertical="center" indent="4"/>
    </xf>
    <xf numFmtId="0" fontId="0" fillId="0" borderId="0" xfId="0" applyAlignment="1">
      <alignment horizontal="left" vertical="center" indent="4"/>
    </xf>
    <xf numFmtId="0" fontId="18" fillId="24" borderId="19" xfId="0" applyFont="1" applyFill="1" applyBorder="1" applyAlignment="1">
      <alignment horizontal="center" vertical="center" wrapText="1"/>
    </xf>
    <xf numFmtId="0" fontId="0" fillId="19" borderId="20" xfId="0" applyFill="1" applyBorder="1" applyAlignment="1">
      <alignment horizontal="center" vertical="center"/>
    </xf>
    <xf numFmtId="0" fontId="17" fillId="19" borderId="18" xfId="0" applyFont="1" applyFill="1" applyBorder="1" applyAlignment="1">
      <alignment vertical="center" wrapText="1"/>
    </xf>
    <xf numFmtId="0" fontId="0" fillId="19" borderId="0" xfId="0" applyFill="1" applyAlignment="1">
      <alignment vertical="center"/>
    </xf>
    <xf numFmtId="0" fontId="0" fillId="19" borderId="18" xfId="0" applyFill="1" applyBorder="1" applyAlignment="1">
      <alignment vertical="center"/>
    </xf>
    <xf numFmtId="0" fontId="2" fillId="0" borderId="0" xfId="0" applyFont="1" applyAlignment="1">
      <alignment horizontal="center"/>
    </xf>
    <xf numFmtId="0" fontId="14" fillId="14" borderId="8" xfId="0" applyFont="1" applyFill="1" applyBorder="1" applyAlignment="1">
      <alignment horizontal="center"/>
    </xf>
    <xf numFmtId="0" fontId="14" fillId="14" borderId="0" xfId="0" applyFont="1" applyFill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9"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Monétaire" xfId="1" builtinId="4"/>
    <cellStyle name="Normal" xfId="0" builtinId="0"/>
    <cellStyle name="Normal 4" xfId="2" xr:uid="{00000000-0005-0000-0000-00001A000000}"/>
    <cellStyle name="Pourcentage" xfId="3" builtinId="5"/>
  </cellStyles>
  <dxfs count="9">
    <dxf>
      <fill>
        <patternFill>
          <bgColor rgb="FFFFC7CE"/>
        </patternFill>
      </fill>
    </dxf>
    <dxf>
      <fill>
        <patternFill>
          <fgColor rgb="FFF36C09"/>
          <bgColor rgb="FFF36C09"/>
        </patternFill>
      </fill>
    </dxf>
    <dxf>
      <fill>
        <patternFill>
          <bgColor rgb="FFF36C09"/>
        </patternFill>
      </fill>
    </dxf>
    <dxf>
      <fill>
        <patternFill>
          <bgColor rgb="FFF36C09"/>
        </patternFill>
      </fill>
    </dxf>
    <dxf>
      <fill>
        <patternFill>
          <bgColor rgb="FFF36C09"/>
        </patternFill>
      </fill>
    </dxf>
    <dxf>
      <fill>
        <patternFill>
          <bgColor rgb="FFF36C09"/>
        </patternFill>
      </fill>
    </dxf>
    <dxf>
      <fill>
        <patternFill>
          <bgColor rgb="FFF36C09"/>
        </patternFill>
      </fill>
    </dxf>
    <dxf>
      <fill>
        <patternFill>
          <fgColor rgb="FFF36C09"/>
          <bgColor rgb="FFF36C09"/>
        </patternFill>
      </fill>
    </dxf>
    <dxf>
      <fill>
        <patternFill>
          <fgColor rgb="FFF36C09"/>
          <bgColor rgb="FFF36C09"/>
        </patternFill>
      </fill>
    </dxf>
  </dxfs>
  <tableStyles count="0" defaultTableStyle="TableStyleMedium2" defaultPivotStyle="PivotStyleLight16"/>
  <colors>
    <mruColors>
      <color rgb="FFF36C09"/>
      <color rgb="FF477EC0"/>
      <color rgb="FF1ACAD4"/>
      <color rgb="FF006E35"/>
      <color rgb="FF261F77"/>
      <color rgb="FF1E1E1C"/>
      <color rgb="FF2860F6"/>
      <color rgb="FFBAD0FC"/>
      <color rgb="FF739FF8"/>
      <color rgb="FF0B1A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rgbClr val="477EC0"/>
                </a:solidFill>
                <a:latin typeface="Century Gothic" panose="020B0502020202020204" pitchFamily="34" charset="0"/>
                <a:ea typeface="+mj-ea"/>
                <a:cs typeface="+mj-cs"/>
              </a:defRPr>
            </a:pPr>
            <a:r>
              <a:rPr lang="fr-FR"/>
              <a:t>Consommation prévisionnelle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rgbClr val="477EC0"/>
              </a:solidFill>
              <a:latin typeface="Century Gothic" panose="020B0502020202020204" pitchFamily="34" charset="0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77EC0"/>
            </a:solidFill>
            <a:ln>
              <a:solidFill>
                <a:srgbClr val="2860F6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477EC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'Fichier E et S'!$B$15:$G$15</c:f>
              <c:strCache>
                <c:ptCount val="6"/>
                <c:pt idx="0">
                  <c:v>P</c:v>
                </c:pt>
                <c:pt idx="1">
                  <c:v>HPH</c:v>
                </c:pt>
                <c:pt idx="2">
                  <c:v>HCH</c:v>
                </c:pt>
                <c:pt idx="3">
                  <c:v>HPE</c:v>
                </c:pt>
                <c:pt idx="4">
                  <c:v>HCE</c:v>
                </c:pt>
                <c:pt idx="5">
                  <c:v>Base</c:v>
                </c:pt>
              </c:strCache>
            </c:strRef>
          </c:cat>
          <c:val>
            <c:numRef>
              <c:f>'Fichier E et S'!$B$16:$G$16</c:f>
              <c:numCache>
                <c:formatCode>General\ "kWh"</c:formatCode>
                <c:ptCount val="6"/>
                <c:pt idx="0">
                  <c:v>32000</c:v>
                </c:pt>
                <c:pt idx="1">
                  <c:v>152000</c:v>
                </c:pt>
                <c:pt idx="2">
                  <c:v>243000</c:v>
                </c:pt>
                <c:pt idx="3">
                  <c:v>500123</c:v>
                </c:pt>
                <c:pt idx="4">
                  <c:v>320124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0-3A4D-B52D-D35DCABC58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276863472"/>
        <c:axId val="276863952"/>
      </c:barChart>
      <c:catAx>
        <c:axId val="276863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BAD0FC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rgbClr val="477EC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276863952"/>
        <c:crossesAt val="0"/>
        <c:auto val="1"/>
        <c:lblAlgn val="ctr"/>
        <c:lblOffset val="100"/>
        <c:noMultiLvlLbl val="0"/>
      </c:catAx>
      <c:valAx>
        <c:axId val="27686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AD0F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477EC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fr-FR"/>
                  <a:t>KWh</a:t>
                </a:r>
              </a:p>
            </c:rich>
          </c:tx>
          <c:layout>
            <c:manualLayout>
              <c:xMode val="edge"/>
              <c:yMode val="edge"/>
              <c:x val="3.009650476139809E-2"/>
              <c:y val="0.41423701524343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477EC0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77EC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27686347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rgbClr val="477EC0"/>
          </a:solidFill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rgbClr val="477EC0"/>
                </a:solidFill>
                <a:latin typeface="Century Gothic" panose="020B0502020202020204" pitchFamily="34" charset="0"/>
                <a:ea typeface="+mj-ea"/>
                <a:cs typeface="+mj-cs"/>
              </a:defRPr>
            </a:pPr>
            <a:r>
              <a:rPr lang="fr-FR">
                <a:solidFill>
                  <a:srgbClr val="477EC0"/>
                </a:solidFill>
              </a:rPr>
              <a:t>Répartition des coûts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rgbClr val="477EC0"/>
              </a:solidFill>
              <a:latin typeface="Century Gothic" panose="020B0502020202020204" pitchFamily="34" charset="0"/>
              <a:ea typeface="+mj-ea"/>
              <a:cs typeface="+mj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3.174947658371198E-2"/>
          <c:y val="0.16618884278110704"/>
          <c:w val="0.53503775668317632"/>
          <c:h val="0.817803620740722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477EC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39-BB4D-823D-D224B60FA7FD}"/>
              </c:ext>
            </c:extLst>
          </c:dPt>
          <c:dPt>
            <c:idx val="1"/>
            <c:bubble3D val="0"/>
            <c:spPr>
              <a:solidFill>
                <a:srgbClr val="1ACAD4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39-BB4D-823D-D224B60FA7FD}"/>
              </c:ext>
            </c:extLst>
          </c:dPt>
          <c:dPt>
            <c:idx val="2"/>
            <c:bubble3D val="0"/>
            <c:spPr>
              <a:solidFill>
                <a:srgbClr val="F36C09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39-BB4D-823D-D224B60FA7FD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C39-BB4D-823D-D224B60FA7F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C39-BB4D-823D-D224B60FA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'Fichier E et S'!$B$50:$D$50</c:f>
              <c:strCache>
                <c:ptCount val="3"/>
                <c:pt idx="0">
                  <c:v>Fourniture</c:v>
                </c:pt>
                <c:pt idx="1">
                  <c:v>Acheminement</c:v>
                </c:pt>
                <c:pt idx="2">
                  <c:v>Taxe &amp; contribtuion</c:v>
                </c:pt>
              </c:strCache>
            </c:strRef>
          </c:cat>
          <c:val>
            <c:numRef>
              <c:f>'Fichier E et S'!$B$51:$D$51</c:f>
              <c:numCache>
                <c:formatCode>#\ ##0.00\ "€"</c:formatCode>
                <c:ptCount val="3"/>
                <c:pt idx="0">
                  <c:v>146071.49128920003</c:v>
                </c:pt>
                <c:pt idx="1">
                  <c:v>47974.278699999995</c:v>
                </c:pt>
                <c:pt idx="2">
                  <c:v>34694.176716000002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39-BB4D-823D-D224B60FA7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75247373890106"/>
          <c:y val="0.30471580532920423"/>
          <c:w val="0.35383112340782236"/>
          <c:h val="0.521214432050606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77EC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3" Type="http://schemas.openxmlformats.org/officeDocument/2006/relationships/chart" Target="../charts/chart1.xml"/><Relationship Id="rId7" Type="http://schemas.openxmlformats.org/officeDocument/2006/relationships/image" Target="../media/image5.png"/><Relationship Id="rId12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sv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svg"/><Relationship Id="rId4" Type="http://schemas.openxmlformats.org/officeDocument/2006/relationships/chart" Target="../charts/chart2.xml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956068</xdr:colOff>
      <xdr:row>39</xdr:row>
      <xdr:rowOff>1131546</xdr:rowOff>
    </xdr:from>
    <xdr:to>
      <xdr:col>3</xdr:col>
      <xdr:colOff>275119</xdr:colOff>
      <xdr:row>41</xdr:row>
      <xdr:rowOff>967341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3C41D67A-04B3-CF44-8BBD-1280F1B85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225" y="13646040"/>
          <a:ext cx="2230063" cy="2204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570786</xdr:colOff>
      <xdr:row>41</xdr:row>
      <xdr:rowOff>613595</xdr:rowOff>
    </xdr:from>
    <xdr:to>
      <xdr:col>3</xdr:col>
      <xdr:colOff>756291</xdr:colOff>
      <xdr:row>42</xdr:row>
      <xdr:rowOff>898989</xdr:rowOff>
    </xdr:to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id="{84D74458-96A1-EFB1-E6D1-B7E9AF462B6C}"/>
            </a:ext>
          </a:extLst>
        </xdr:cNvPr>
        <xdr:cNvSpPr txBox="1"/>
      </xdr:nvSpPr>
      <xdr:spPr>
        <a:xfrm>
          <a:off x="684943" y="16096179"/>
          <a:ext cx="3096517" cy="17694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 i="0" u="sng" strike="noStrike">
              <a:solidFill>
                <a:srgbClr val="477EC0"/>
              </a:solidFill>
              <a:effectLst/>
              <a:latin typeface="+mn-lt"/>
              <a:ea typeface="+mn-ea"/>
              <a:cs typeface="+mn-cs"/>
            </a:rPr>
            <a:t>Côme LAVIROTTE</a:t>
          </a:r>
          <a:r>
            <a:rPr lang="fr-FR" sz="1800">
              <a:solidFill>
                <a:srgbClr val="477EC0"/>
              </a:solidFill>
            </a:rPr>
            <a:t> </a:t>
          </a:r>
        </a:p>
        <a:p>
          <a:pPr algn="ctr"/>
          <a:r>
            <a:rPr lang="fr-FR" sz="1800" b="1" i="0" u="sng" strike="noStrike">
              <a:solidFill>
                <a:srgbClr val="477EC0"/>
              </a:solidFill>
              <a:effectLst/>
              <a:latin typeface="+mn-lt"/>
              <a:ea typeface="+mn-ea"/>
              <a:cs typeface="+mn-cs"/>
            </a:rPr>
            <a:t>Energy Manager - </a:t>
          </a:r>
        </a:p>
        <a:p>
          <a:pPr algn="ctr"/>
          <a:r>
            <a:rPr lang="fr-FR" sz="1800" b="1" i="0" u="sng" strike="noStrike">
              <a:solidFill>
                <a:srgbClr val="477EC0"/>
              </a:solidFill>
              <a:effectLst/>
              <a:latin typeface="+mn-lt"/>
              <a:ea typeface="+mn-ea"/>
              <a:cs typeface="+mn-cs"/>
            </a:rPr>
            <a:t>Expert en contrats d’énergies</a:t>
          </a:r>
          <a:r>
            <a:rPr lang="fr-FR" sz="1800">
              <a:solidFill>
                <a:srgbClr val="477EC0"/>
              </a:solidFill>
            </a:rPr>
            <a:t> </a:t>
          </a:r>
          <a:endParaRPr lang="fr-FR" sz="1800" b="0" i="0" u="none" strike="noStrike">
            <a:solidFill>
              <a:srgbClr val="477EC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1800" b="0" i="0" u="none" strike="noStrike">
              <a:solidFill>
                <a:srgbClr val="477EC0"/>
              </a:solidFill>
              <a:effectLst/>
              <a:latin typeface="+mn-lt"/>
              <a:ea typeface="+mn-ea"/>
              <a:cs typeface="+mn-cs"/>
            </a:rPr>
            <a:t> 06.99.08.74.71</a:t>
          </a:r>
        </a:p>
        <a:p>
          <a:pPr algn="ctr"/>
          <a:r>
            <a:rPr lang="fr-FR" sz="1800" b="0" i="0" u="sng" strike="noStrike">
              <a:solidFill>
                <a:srgbClr val="477EC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  come.lavirotte@e-s-y.fr</a:t>
          </a:r>
          <a:r>
            <a:rPr lang="fr-FR" sz="1800">
              <a:solidFill>
                <a:srgbClr val="477EC0"/>
              </a:solidFill>
            </a:rPr>
            <a:t> </a:t>
          </a:r>
        </a:p>
      </xdr:txBody>
    </xdr:sp>
    <xdr:clientData/>
  </xdr:twoCellAnchor>
  <xdr:twoCellAnchor editAs="oneCell">
    <xdr:from>
      <xdr:col>1</xdr:col>
      <xdr:colOff>1076688</xdr:colOff>
      <xdr:row>42</xdr:row>
      <xdr:rowOff>620058</xdr:rowOff>
    </xdr:from>
    <xdr:to>
      <xdr:col>3</xdr:col>
      <xdr:colOff>417062</xdr:colOff>
      <xdr:row>44</xdr:row>
      <xdr:rowOff>502679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9086B70-E1DE-8B0E-0458-A737D2277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845" y="16687698"/>
          <a:ext cx="2251386" cy="2251386"/>
        </a:xfrm>
        <a:prstGeom prst="rect">
          <a:avLst/>
        </a:prstGeom>
      </xdr:spPr>
    </xdr:pic>
    <xdr:clientData/>
  </xdr:twoCellAnchor>
  <xdr:twoCellAnchor>
    <xdr:from>
      <xdr:col>11</xdr:col>
      <xdr:colOff>242293</xdr:colOff>
      <xdr:row>22</xdr:row>
      <xdr:rowOff>102957</xdr:rowOff>
    </xdr:from>
    <xdr:to>
      <xdr:col>16</xdr:col>
      <xdr:colOff>1116988</xdr:colOff>
      <xdr:row>35</xdr:row>
      <xdr:rowOff>30603</xdr:rowOff>
    </xdr:to>
    <xdr:graphicFrame macro="">
      <xdr:nvGraphicFramePr>
        <xdr:cNvPr id="66" name="Graphique 65">
          <a:extLst>
            <a:ext uri="{FF2B5EF4-FFF2-40B4-BE49-F238E27FC236}">
              <a16:creationId xmlns:a16="http://schemas.microsoft.com/office/drawing/2014/main" id="{71C6123E-69EA-5D43-80AB-047674933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173631</xdr:colOff>
      <xdr:row>8</xdr:row>
      <xdr:rowOff>187142</xdr:rowOff>
    </xdr:from>
    <xdr:to>
      <xdr:col>16</xdr:col>
      <xdr:colOff>1071085</xdr:colOff>
      <xdr:row>21</xdr:row>
      <xdr:rowOff>15302</xdr:rowOff>
    </xdr:to>
    <xdr:graphicFrame macro="">
      <xdr:nvGraphicFramePr>
        <xdr:cNvPr id="67" name="Graphique 66">
          <a:extLst>
            <a:ext uri="{FF2B5EF4-FFF2-40B4-BE49-F238E27FC236}">
              <a16:creationId xmlns:a16="http://schemas.microsoft.com/office/drawing/2014/main" id="{A5A9E251-AE51-0242-ADB4-138CD2B7C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321324</xdr:colOff>
      <xdr:row>2</xdr:row>
      <xdr:rowOff>306024</xdr:rowOff>
    </xdr:from>
    <xdr:to>
      <xdr:col>13</xdr:col>
      <xdr:colOff>455717</xdr:colOff>
      <xdr:row>7</xdr:row>
      <xdr:rowOff>211113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C99B9F7F-1CC6-4148-A1A4-E6D06F07856A}"/>
            </a:ext>
          </a:extLst>
        </xdr:cNvPr>
        <xdr:cNvSpPr/>
      </xdr:nvSpPr>
      <xdr:spPr>
        <a:xfrm>
          <a:off x="13342649" y="918072"/>
          <a:ext cx="2521381" cy="1511716"/>
        </a:xfrm>
        <a:prstGeom prst="rect">
          <a:avLst/>
        </a:prstGeom>
        <a:solidFill>
          <a:srgbClr val="477EC0"/>
        </a:solidFill>
        <a:ln>
          <a:solidFill>
            <a:srgbClr val="2860F6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2000" b="1" u="sng">
            <a:solidFill>
              <a:schemeClr val="bg1"/>
            </a:solidFill>
            <a:latin typeface="Century Gothic" panose="020B0502020202020204" pitchFamily="34" charset="0"/>
          </a:endParaRPr>
        </a:p>
        <a:p>
          <a:pPr algn="ctr"/>
          <a:r>
            <a:rPr lang="fr-FR" sz="2000" b="1" u="sng">
              <a:solidFill>
                <a:schemeClr val="bg1"/>
              </a:solidFill>
              <a:latin typeface="Century Gothic" panose="020B0502020202020204" pitchFamily="34" charset="0"/>
            </a:rPr>
            <a:t>TOTAL</a:t>
          </a:r>
          <a:r>
            <a:rPr lang="fr-FR" sz="2000" b="1" u="sng" baseline="0">
              <a:solidFill>
                <a:schemeClr val="bg1"/>
              </a:solidFill>
              <a:latin typeface="Century Gothic" panose="020B0502020202020204" pitchFamily="34" charset="0"/>
            </a:rPr>
            <a:t> HT</a:t>
          </a:r>
          <a:endParaRPr lang="fr-FR" sz="2800" b="1" u="sng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14</xdr:col>
      <xdr:colOff>61795</xdr:colOff>
      <xdr:row>2</xdr:row>
      <xdr:rowOff>269823</xdr:rowOff>
    </xdr:from>
    <xdr:to>
      <xdr:col>16</xdr:col>
      <xdr:colOff>635798</xdr:colOff>
      <xdr:row>7</xdr:row>
      <xdr:rowOff>174912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E308A4E0-B3BA-FF4A-AF25-587610178687}"/>
            </a:ext>
          </a:extLst>
        </xdr:cNvPr>
        <xdr:cNvSpPr/>
      </xdr:nvSpPr>
      <xdr:spPr>
        <a:xfrm>
          <a:off x="16663602" y="881871"/>
          <a:ext cx="2517256" cy="1511716"/>
        </a:xfrm>
        <a:prstGeom prst="rect">
          <a:avLst/>
        </a:prstGeom>
        <a:solidFill>
          <a:srgbClr val="477EC0"/>
        </a:solidFill>
        <a:ln>
          <a:solidFill>
            <a:srgbClr val="2860F6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 prst="artDeco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2000" b="1" u="sng">
            <a:solidFill>
              <a:schemeClr val="bg1"/>
            </a:solidFill>
            <a:latin typeface="Century Gothic" panose="020B0502020202020204" pitchFamily="34" charset="0"/>
          </a:endParaRPr>
        </a:p>
        <a:p>
          <a:pPr algn="ctr"/>
          <a:r>
            <a:rPr lang="fr-FR" sz="2000" b="1" u="sng">
              <a:solidFill>
                <a:schemeClr val="bg1"/>
              </a:solidFill>
              <a:latin typeface="Century Gothic" panose="020B0502020202020204" pitchFamily="34" charset="0"/>
            </a:rPr>
            <a:t>TOTAL TTC</a:t>
          </a:r>
          <a:endParaRPr lang="fr-FR" sz="2800" b="1" u="sng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11</xdr:col>
      <xdr:colOff>780361</xdr:colOff>
      <xdr:row>5</xdr:row>
      <xdr:rowOff>290721</xdr:rowOff>
    </xdr:from>
    <xdr:to>
      <xdr:col>13</xdr:col>
      <xdr:colOff>136273</xdr:colOff>
      <xdr:row>6</xdr:row>
      <xdr:rowOff>161201</xdr:rowOff>
    </xdr:to>
    <xdr:sp macro="" textlink="$E$51">
      <xdr:nvSpPr>
        <xdr:cNvPr id="70" name="ZoneTexte 69">
          <a:extLst>
            <a:ext uri="{FF2B5EF4-FFF2-40B4-BE49-F238E27FC236}">
              <a16:creationId xmlns:a16="http://schemas.microsoft.com/office/drawing/2014/main" id="{28B2EE13-8C77-B345-BECD-0E540032C171}"/>
            </a:ext>
          </a:extLst>
        </xdr:cNvPr>
        <xdr:cNvSpPr txBox="1"/>
      </xdr:nvSpPr>
      <xdr:spPr>
        <a:xfrm>
          <a:off x="13838949" y="1754956"/>
          <a:ext cx="1746500" cy="348598"/>
        </a:xfrm>
        <a:prstGeom prst="rect">
          <a:avLst/>
        </a:prstGeom>
        <a:solidFill>
          <a:srgbClr val="477EC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fld id="{A7F5B9C5-39EC-4F12-851E-A087BCB67AF8}" type="TxLink">
            <a:rPr lang="en-US" sz="2000" b="1" i="0" u="none" strike="noStrike">
              <a:solidFill>
                <a:schemeClr val="bg1"/>
              </a:solidFill>
              <a:latin typeface="Century Gothic"/>
            </a:rPr>
            <a:pPr/>
            <a:t>228 739,95 €</a:t>
          </a:fld>
          <a:endParaRPr lang="fr-FR" sz="2400">
            <a:solidFill>
              <a:schemeClr val="bg1"/>
            </a:solidFill>
          </a:endParaRPr>
        </a:p>
      </xdr:txBody>
    </xdr:sp>
    <xdr:clientData/>
  </xdr:twoCellAnchor>
  <xdr:twoCellAnchor>
    <xdr:from>
      <xdr:col>14</xdr:col>
      <xdr:colOff>480341</xdr:colOff>
      <xdr:row>5</xdr:row>
      <xdr:rowOff>294903</xdr:rowOff>
    </xdr:from>
    <xdr:to>
      <xdr:col>16</xdr:col>
      <xdr:colOff>394864</xdr:colOff>
      <xdr:row>6</xdr:row>
      <xdr:rowOff>121873</xdr:rowOff>
    </xdr:to>
    <xdr:sp macro="" textlink="$E$54">
      <xdr:nvSpPr>
        <xdr:cNvPr id="71" name="ZoneTexte 70">
          <a:extLst>
            <a:ext uri="{FF2B5EF4-FFF2-40B4-BE49-F238E27FC236}">
              <a16:creationId xmlns:a16="http://schemas.microsoft.com/office/drawing/2014/main" id="{3E19A32A-55ED-0D47-96F7-D480CB85B299}"/>
            </a:ext>
          </a:extLst>
        </xdr:cNvPr>
        <xdr:cNvSpPr txBox="1"/>
      </xdr:nvSpPr>
      <xdr:spPr>
        <a:xfrm>
          <a:off x="17124812" y="1759138"/>
          <a:ext cx="1856876" cy="305088"/>
        </a:xfrm>
        <a:prstGeom prst="rect">
          <a:avLst/>
        </a:prstGeom>
        <a:solidFill>
          <a:srgbClr val="477EC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fld id="{C68465F8-CCC5-4083-A8BE-40E7F7AFE1E2}" type="TxLink">
            <a:rPr lang="en-US" sz="2000" b="1" i="0" u="none" strike="noStrike">
              <a:solidFill>
                <a:schemeClr val="bg1"/>
              </a:solidFill>
              <a:latin typeface="Century Gothic"/>
            </a:rPr>
            <a:pPr/>
            <a:t>267 549,10 €</a:t>
          </a:fld>
          <a:endParaRPr lang="fr-FR" sz="2000" b="1">
            <a:solidFill>
              <a:schemeClr val="bg1"/>
            </a:solidFill>
          </a:endParaRPr>
        </a:p>
      </xdr:txBody>
    </xdr:sp>
    <xdr:clientData/>
  </xdr:twoCellAnchor>
  <xdr:oneCellAnchor>
    <xdr:from>
      <xdr:col>64</xdr:col>
      <xdr:colOff>0</xdr:colOff>
      <xdr:row>5</xdr:row>
      <xdr:rowOff>0</xdr:rowOff>
    </xdr:from>
    <xdr:ext cx="357153" cy="323695"/>
    <xdr:pic>
      <xdr:nvPicPr>
        <xdr:cNvPr id="76" name="Graphique 75" descr="Coche avec un remplissage uni">
          <a:extLst>
            <a:ext uri="{FF2B5EF4-FFF2-40B4-BE49-F238E27FC236}">
              <a16:creationId xmlns:a16="http://schemas.microsoft.com/office/drawing/2014/main" id="{8A48C368-16C8-FE4D-837A-2A738A72B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58771928" y="1468916"/>
          <a:ext cx="357153" cy="323695"/>
        </a:xfrm>
        <a:prstGeom prst="rect">
          <a:avLst/>
        </a:prstGeom>
      </xdr:spPr>
    </xdr:pic>
    <xdr:clientData/>
  </xdr:oneCellAnchor>
  <xdr:oneCellAnchor>
    <xdr:from>
      <xdr:col>63</xdr:col>
      <xdr:colOff>0</xdr:colOff>
      <xdr:row>10</xdr:row>
      <xdr:rowOff>20447</xdr:rowOff>
    </xdr:from>
    <xdr:ext cx="469233" cy="479393"/>
    <xdr:pic>
      <xdr:nvPicPr>
        <xdr:cNvPr id="77" name="Graphique 76" descr="Avertissement avec un remplissage uni">
          <a:extLst>
            <a:ext uri="{FF2B5EF4-FFF2-40B4-BE49-F238E27FC236}">
              <a16:creationId xmlns:a16="http://schemas.microsoft.com/office/drawing/2014/main" id="{51302B72-1655-6C42-93F4-86D5E3BFA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57915060" y="2988881"/>
          <a:ext cx="469233" cy="479393"/>
        </a:xfrm>
        <a:prstGeom prst="rect">
          <a:avLst/>
        </a:prstGeom>
      </xdr:spPr>
    </xdr:pic>
    <xdr:clientData/>
  </xdr:oneCellAnchor>
  <xdr:oneCellAnchor>
    <xdr:from>
      <xdr:col>63</xdr:col>
      <xdr:colOff>484969</xdr:colOff>
      <xdr:row>8</xdr:row>
      <xdr:rowOff>0</xdr:rowOff>
    </xdr:from>
    <xdr:ext cx="368410" cy="317287"/>
    <xdr:pic>
      <xdr:nvPicPr>
        <xdr:cNvPr id="78" name="Graphique 77" descr="Coche avec un remplissage uni">
          <a:extLst>
            <a:ext uri="{FF2B5EF4-FFF2-40B4-BE49-F238E27FC236}">
              <a16:creationId xmlns:a16="http://schemas.microsoft.com/office/drawing/2014/main" id="{52AFA1A8-7226-9146-8366-46919DCA4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58400029" y="2478795"/>
          <a:ext cx="368410" cy="317287"/>
        </a:xfrm>
        <a:prstGeom prst="rect">
          <a:avLst/>
        </a:prstGeom>
      </xdr:spPr>
    </xdr:pic>
    <xdr:clientData/>
  </xdr:oneCellAnchor>
  <xdr:oneCellAnchor>
    <xdr:from>
      <xdr:col>66</xdr:col>
      <xdr:colOff>98111</xdr:colOff>
      <xdr:row>5</xdr:row>
      <xdr:rowOff>60755</xdr:rowOff>
    </xdr:from>
    <xdr:ext cx="357153" cy="323695"/>
    <xdr:pic>
      <xdr:nvPicPr>
        <xdr:cNvPr id="79" name="Graphique 78" descr="Coche avec un remplissage uni">
          <a:extLst>
            <a:ext uri="{FF2B5EF4-FFF2-40B4-BE49-F238E27FC236}">
              <a16:creationId xmlns:a16="http://schemas.microsoft.com/office/drawing/2014/main" id="{C3BF290F-F5DF-D148-859C-2599A878C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151966" y="1009430"/>
          <a:ext cx="357153" cy="323695"/>
        </a:xfrm>
        <a:prstGeom prst="rect">
          <a:avLst/>
        </a:prstGeom>
      </xdr:spPr>
    </xdr:pic>
    <xdr:clientData/>
  </xdr:oneCellAnchor>
  <xdr:oneCellAnchor>
    <xdr:from>
      <xdr:col>66</xdr:col>
      <xdr:colOff>32231</xdr:colOff>
      <xdr:row>8</xdr:row>
      <xdr:rowOff>93746</xdr:rowOff>
    </xdr:from>
    <xdr:ext cx="368410" cy="317287"/>
    <xdr:pic>
      <xdr:nvPicPr>
        <xdr:cNvPr id="80" name="Graphique 79" descr="Coche avec un remplissage uni">
          <a:extLst>
            <a:ext uri="{FF2B5EF4-FFF2-40B4-BE49-F238E27FC236}">
              <a16:creationId xmlns:a16="http://schemas.microsoft.com/office/drawing/2014/main" id="{783DD4BC-D71B-D048-B560-90D286D2F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7086086" y="1562662"/>
          <a:ext cx="368410" cy="317287"/>
        </a:xfrm>
        <a:prstGeom prst="rect">
          <a:avLst/>
        </a:prstGeom>
      </xdr:spPr>
    </xdr:pic>
    <xdr:clientData/>
  </xdr:oneCellAnchor>
  <xdr:oneCellAnchor>
    <xdr:from>
      <xdr:col>65</xdr:col>
      <xdr:colOff>740756</xdr:colOff>
      <xdr:row>10</xdr:row>
      <xdr:rowOff>114194</xdr:rowOff>
    </xdr:from>
    <xdr:ext cx="469233" cy="479393"/>
    <xdr:pic>
      <xdr:nvPicPr>
        <xdr:cNvPr id="81" name="Graphique 80" descr="Avertissement avec un remplissage uni">
          <a:extLst>
            <a:ext uri="{FF2B5EF4-FFF2-40B4-BE49-F238E27FC236}">
              <a16:creationId xmlns:a16="http://schemas.microsoft.com/office/drawing/2014/main" id="{80EC2DAE-C688-8B43-BCB6-D6A6F3785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6601117" y="2072748"/>
          <a:ext cx="469233" cy="479393"/>
        </a:xfrm>
        <a:prstGeom prst="rect">
          <a:avLst/>
        </a:prstGeom>
      </xdr:spPr>
    </xdr:pic>
    <xdr:clientData/>
  </xdr:oneCellAnchor>
  <xdr:twoCellAnchor editAs="oneCell">
    <xdr:from>
      <xdr:col>5</xdr:col>
      <xdr:colOff>673254</xdr:colOff>
      <xdr:row>2</xdr:row>
      <xdr:rowOff>153012</xdr:rowOff>
    </xdr:from>
    <xdr:to>
      <xdr:col>7</xdr:col>
      <xdr:colOff>89666</xdr:colOff>
      <xdr:row>8</xdr:row>
      <xdr:rowOff>127765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C0196791-7604-B9B5-6F13-FCD70CD16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533615" y="765060"/>
          <a:ext cx="1803400" cy="1841500"/>
        </a:xfrm>
        <a:prstGeom prst="rect">
          <a:avLst/>
        </a:prstGeom>
      </xdr:spPr>
    </xdr:pic>
    <xdr:clientData/>
  </xdr:twoCellAnchor>
  <xdr:twoCellAnchor>
    <xdr:from>
      <xdr:col>8</xdr:col>
      <xdr:colOff>1055784</xdr:colOff>
      <xdr:row>13</xdr:row>
      <xdr:rowOff>137712</xdr:rowOff>
    </xdr:from>
    <xdr:to>
      <xdr:col>10</xdr:col>
      <xdr:colOff>642652</xdr:colOff>
      <xdr:row>22</xdr:row>
      <xdr:rowOff>244820</xdr:rowOff>
    </xdr:to>
    <xdr:sp macro="" textlink="">
      <xdr:nvSpPr>
        <xdr:cNvPr id="84" name="Chevron 83">
          <a:extLst>
            <a:ext uri="{FF2B5EF4-FFF2-40B4-BE49-F238E27FC236}">
              <a16:creationId xmlns:a16="http://schemas.microsoft.com/office/drawing/2014/main" id="{7E02C84B-F990-8CA9-7D3D-33174BCFCE71}"/>
            </a:ext>
          </a:extLst>
        </xdr:cNvPr>
        <xdr:cNvSpPr/>
      </xdr:nvSpPr>
      <xdr:spPr>
        <a:xfrm>
          <a:off x="10496627" y="3901808"/>
          <a:ext cx="1973856" cy="2677711"/>
        </a:xfrm>
        <a:prstGeom prst="chevron">
          <a:avLst/>
        </a:prstGeom>
        <a:solidFill>
          <a:srgbClr val="477EC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7</xdr:col>
      <xdr:colOff>1104429</xdr:colOff>
      <xdr:row>14</xdr:row>
      <xdr:rowOff>155755</xdr:rowOff>
    </xdr:from>
    <xdr:to>
      <xdr:col>9</xdr:col>
      <xdr:colOff>578091</xdr:colOff>
      <xdr:row>21</xdr:row>
      <xdr:rowOff>42550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7A5B1F12-ED21-A49E-CFBE-7A5625314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351778" y="4195273"/>
          <a:ext cx="1860650" cy="1860650"/>
        </a:xfrm>
        <a:prstGeom prst="rect">
          <a:avLst/>
        </a:prstGeom>
      </xdr:spPr>
    </xdr:pic>
    <xdr:clientData/>
  </xdr:twoCellAnchor>
  <xdr:twoCellAnchor>
    <xdr:from>
      <xdr:col>14</xdr:col>
      <xdr:colOff>1001777</xdr:colOff>
      <xdr:row>14</xdr:row>
      <xdr:rowOff>24983</xdr:rowOff>
    </xdr:from>
    <xdr:to>
      <xdr:col>16</xdr:col>
      <xdr:colOff>647151</xdr:colOff>
      <xdr:row>15</xdr:row>
      <xdr:rowOff>3006</xdr:rowOff>
    </xdr:to>
    <xdr:sp macro="" textlink="$B$51">
      <xdr:nvSpPr>
        <xdr:cNvPr id="90" name="ZoneTexte 89">
          <a:extLst>
            <a:ext uri="{FF2B5EF4-FFF2-40B4-BE49-F238E27FC236}">
              <a16:creationId xmlns:a16="http://schemas.microsoft.com/office/drawing/2014/main" id="{53A1F684-20AF-F54C-B413-30CEFA891CA4}"/>
            </a:ext>
          </a:extLst>
        </xdr:cNvPr>
        <xdr:cNvSpPr txBox="1"/>
      </xdr:nvSpPr>
      <xdr:spPr>
        <a:xfrm>
          <a:off x="17646248" y="4029218"/>
          <a:ext cx="1587727" cy="261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fld id="{48A7DB29-E79F-0F44-8FEE-7C53ABFCED4F}" type="TxLink">
            <a:rPr lang="en-US" sz="1200" b="0" i="0" u="none" strike="noStrike">
              <a:solidFill>
                <a:srgbClr val="477EC0"/>
              </a:solidFill>
              <a:latin typeface="Century Gothic"/>
            </a:rPr>
            <a:pPr/>
            <a:t>146 071,49 €</a:t>
          </a:fld>
          <a:endParaRPr lang="fr-FR" sz="1200" b="0">
            <a:solidFill>
              <a:srgbClr val="477EC0"/>
            </a:solidFill>
          </a:endParaRPr>
        </a:p>
      </xdr:txBody>
    </xdr:sp>
    <xdr:clientData/>
  </xdr:twoCellAnchor>
  <xdr:twoCellAnchor>
    <xdr:from>
      <xdr:col>14</xdr:col>
      <xdr:colOff>1004765</xdr:colOff>
      <xdr:row>16</xdr:row>
      <xdr:rowOff>57854</xdr:rowOff>
    </xdr:from>
    <xdr:to>
      <xdr:col>16</xdr:col>
      <xdr:colOff>650139</xdr:colOff>
      <xdr:row>17</xdr:row>
      <xdr:rowOff>35878</xdr:rowOff>
    </xdr:to>
    <xdr:sp macro="" textlink="$C$51">
      <xdr:nvSpPr>
        <xdr:cNvPr id="91" name="ZoneTexte 90">
          <a:extLst>
            <a:ext uri="{FF2B5EF4-FFF2-40B4-BE49-F238E27FC236}">
              <a16:creationId xmlns:a16="http://schemas.microsoft.com/office/drawing/2014/main" id="{70E05516-B26F-7243-B4E1-4BD8729B5C84}"/>
            </a:ext>
          </a:extLst>
        </xdr:cNvPr>
        <xdr:cNvSpPr txBox="1"/>
      </xdr:nvSpPr>
      <xdr:spPr>
        <a:xfrm>
          <a:off x="17649236" y="4629854"/>
          <a:ext cx="1587727" cy="261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fld id="{DD1811FA-6D4B-1A44-839D-2411E48EBC71}" type="TxLink">
            <a:rPr lang="en-US" sz="1200" b="0" i="0" u="none" strike="noStrike">
              <a:solidFill>
                <a:srgbClr val="477EC0"/>
              </a:solidFill>
              <a:latin typeface="Century Gothic"/>
              <a:ea typeface="+mn-ea"/>
              <a:cs typeface="+mn-cs"/>
            </a:rPr>
            <a:pPr marL="0" indent="0"/>
            <a:t>47 974,28 €</a:t>
          </a:fld>
          <a:endParaRPr lang="fr-FR" sz="1200" b="0" i="0" u="none" strike="noStrike">
            <a:solidFill>
              <a:srgbClr val="477EC0"/>
            </a:solidFill>
            <a:latin typeface="Century Gothic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1022695</xdr:colOff>
      <xdr:row>18</xdr:row>
      <xdr:rowOff>90725</xdr:rowOff>
    </xdr:from>
    <xdr:to>
      <xdr:col>16</xdr:col>
      <xdr:colOff>668069</xdr:colOff>
      <xdr:row>19</xdr:row>
      <xdr:rowOff>68749</xdr:rowOff>
    </xdr:to>
    <xdr:sp macro="" textlink="$D$51">
      <xdr:nvSpPr>
        <xdr:cNvPr id="92" name="ZoneTexte 91">
          <a:extLst>
            <a:ext uri="{FF2B5EF4-FFF2-40B4-BE49-F238E27FC236}">
              <a16:creationId xmlns:a16="http://schemas.microsoft.com/office/drawing/2014/main" id="{EFF74422-1714-D848-88F7-A24E44966A74}"/>
            </a:ext>
          </a:extLst>
        </xdr:cNvPr>
        <xdr:cNvSpPr txBox="1"/>
      </xdr:nvSpPr>
      <xdr:spPr>
        <a:xfrm>
          <a:off x="17667166" y="5230490"/>
          <a:ext cx="1587727" cy="261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fld id="{ED17ADFA-743A-D64E-BEA3-1FA55A45A2C4}" type="TxLink">
            <a:rPr lang="en-US" sz="1200" b="0" i="0" u="none" strike="noStrike">
              <a:solidFill>
                <a:srgbClr val="477EC0"/>
              </a:solidFill>
              <a:latin typeface="Century Gothic"/>
              <a:ea typeface="+mn-ea"/>
              <a:cs typeface="+mn-cs"/>
            </a:rPr>
            <a:pPr marL="0" indent="0"/>
            <a:t>34 694,18 €</a:t>
          </a:fld>
          <a:endParaRPr lang="fr-FR" sz="1200" b="0" i="0" u="none" strike="noStrike">
            <a:solidFill>
              <a:srgbClr val="477EC0"/>
            </a:solidFill>
            <a:latin typeface="Century Gothic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162"/>
  <sheetViews>
    <sheetView showGridLines="0" tabSelected="1" zoomScale="75" zoomScaleNormal="303" workbookViewId="0">
      <selection activeCell="G45" sqref="G45:Q45"/>
    </sheetView>
  </sheetViews>
  <sheetFormatPr baseColWidth="10" defaultColWidth="11.1640625" defaultRowHeight="16" x14ac:dyDescent="0.2"/>
  <cols>
    <col min="1" max="1" width="1.5" style="81" customWidth="1"/>
    <col min="2" max="3" width="19.1640625" style="78" customWidth="1"/>
    <col min="4" max="5" width="18.6640625" style="78" customWidth="1"/>
    <col min="6" max="15" width="15.6640625" style="78" customWidth="1"/>
    <col min="16" max="16" width="9.83203125" style="78" customWidth="1"/>
    <col min="17" max="17" width="15.6640625" style="78" customWidth="1"/>
    <col min="18" max="18" width="12.6640625" style="79" customWidth="1"/>
    <col min="19" max="19" width="1.83203125" style="79" customWidth="1"/>
    <col min="20" max="20" width="14.1640625" style="79" customWidth="1"/>
    <col min="21" max="21" width="10.83203125" style="79" hidden="1" customWidth="1"/>
    <col min="22" max="57" width="11.1640625" style="79"/>
    <col min="58" max="16384" width="11.1640625" style="78"/>
  </cols>
  <sheetData>
    <row r="1" spans="1:120" s="81" customFormat="1" ht="7.25" customHeight="1" thickBot="1" x14ac:dyDescent="0.25"/>
    <row r="2" spans="1:120" s="80" customFormat="1" ht="41.5" customHeight="1" thickBot="1" x14ac:dyDescent="0.25">
      <c r="A2" s="81"/>
      <c r="B2" s="156" t="s">
        <v>113</v>
      </c>
      <c r="C2" s="157"/>
      <c r="D2" s="157"/>
      <c r="E2" s="157"/>
      <c r="F2" s="157"/>
      <c r="G2" s="157"/>
      <c r="H2" s="78"/>
      <c r="I2" s="78"/>
      <c r="J2" s="78"/>
      <c r="K2" s="78"/>
      <c r="L2" s="156" t="s">
        <v>114</v>
      </c>
      <c r="M2" s="157"/>
      <c r="N2" s="157"/>
      <c r="O2" s="157"/>
      <c r="P2" s="157"/>
      <c r="Q2" s="157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</row>
    <row r="3" spans="1:120" s="81" customFormat="1" ht="27" customHeight="1" x14ac:dyDescent="0.2"/>
    <row r="4" spans="1:120" ht="20.5" customHeight="1" x14ac:dyDescent="0.2">
      <c r="B4" s="158" t="s">
        <v>112</v>
      </c>
      <c r="C4" s="159"/>
      <c r="D4" s="159"/>
      <c r="E4" s="26"/>
      <c r="G4" s="81"/>
      <c r="H4" s="81"/>
      <c r="I4" s="111"/>
      <c r="J4" s="81"/>
      <c r="R4" s="78"/>
      <c r="S4" s="78"/>
      <c r="T4" s="78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</row>
    <row r="5" spans="1:120" ht="20.5" customHeight="1" x14ac:dyDescent="0.2">
      <c r="B5" s="160"/>
      <c r="C5" s="159"/>
      <c r="D5" s="159"/>
      <c r="E5" s="26"/>
      <c r="G5" s="111"/>
      <c r="H5" s="81"/>
      <c r="I5" s="81"/>
      <c r="J5" s="81"/>
      <c r="K5" s="26"/>
      <c r="N5" s="26"/>
      <c r="R5" s="78"/>
      <c r="S5" s="78"/>
      <c r="T5" s="78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</row>
    <row r="6" spans="1:120" s="81" customFormat="1" ht="38" customHeight="1" thickBot="1" x14ac:dyDescent="0.25">
      <c r="K6" s="26"/>
      <c r="N6" s="26"/>
      <c r="BO6" s="151" t="s">
        <v>117</v>
      </c>
      <c r="BP6" s="146"/>
    </row>
    <row r="7" spans="1:120" ht="20.5" customHeight="1" x14ac:dyDescent="0.2">
      <c r="B7" s="113" t="s">
        <v>59</v>
      </c>
      <c r="C7" s="114" t="s">
        <v>60</v>
      </c>
      <c r="D7" s="114" t="s">
        <v>10</v>
      </c>
      <c r="E7" s="115" t="s">
        <v>62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</row>
    <row r="8" spans="1:120" ht="20.5" customHeight="1" thickBot="1" x14ac:dyDescent="0.25">
      <c r="B8" s="83"/>
      <c r="C8" s="84"/>
      <c r="D8" s="100" t="s">
        <v>105</v>
      </c>
      <c r="E8" s="101" t="s">
        <v>87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</row>
    <row r="9" spans="1:120" s="81" customFormat="1" ht="18" customHeight="1" thickBot="1" x14ac:dyDescent="0.25">
      <c r="BO9" s="152" t="s">
        <v>116</v>
      </c>
      <c r="BP9" s="153"/>
    </row>
    <row r="10" spans="1:120" ht="20.5" customHeight="1" thickBot="1" x14ac:dyDescent="0.25">
      <c r="B10" s="142" t="s">
        <v>106</v>
      </c>
      <c r="C10" s="143"/>
      <c r="D10" s="143"/>
      <c r="E10" s="143"/>
      <c r="F10" s="143"/>
      <c r="G10" s="144"/>
      <c r="K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</row>
    <row r="11" spans="1:120" ht="20.5" customHeight="1" x14ac:dyDescent="0.2">
      <c r="B11" s="113" t="s">
        <v>26</v>
      </c>
      <c r="C11" s="114" t="s">
        <v>32</v>
      </c>
      <c r="D11" s="114" t="s">
        <v>33</v>
      </c>
      <c r="E11" s="115" t="s">
        <v>63</v>
      </c>
      <c r="F11" s="113" t="s">
        <v>64</v>
      </c>
      <c r="G11" s="114" t="s">
        <v>65</v>
      </c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</row>
    <row r="12" spans="1:120" ht="20.5" customHeight="1" thickBot="1" x14ac:dyDescent="0.25">
      <c r="B12" s="87">
        <v>550</v>
      </c>
      <c r="C12" s="87">
        <v>550</v>
      </c>
      <c r="D12" s="87">
        <v>550</v>
      </c>
      <c r="E12" s="87">
        <v>550</v>
      </c>
      <c r="F12" s="87">
        <v>550</v>
      </c>
      <c r="G12" s="112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154" t="s">
        <v>115</v>
      </c>
      <c r="BP12" s="155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</row>
    <row r="13" spans="1:120" s="81" customFormat="1" ht="22" customHeight="1" thickBot="1" x14ac:dyDescent="0.25"/>
    <row r="14" spans="1:120" s="81" customFormat="1" ht="22" customHeight="1" thickBot="1" x14ac:dyDescent="0.25">
      <c r="B14" s="139" t="s">
        <v>68</v>
      </c>
      <c r="C14" s="140"/>
      <c r="D14" s="140"/>
      <c r="E14" s="140"/>
      <c r="F14" s="140"/>
      <c r="G14" s="141"/>
    </row>
    <row r="15" spans="1:120" s="81" customFormat="1" ht="22" customHeight="1" x14ac:dyDescent="0.2">
      <c r="B15" s="114" t="s">
        <v>26</v>
      </c>
      <c r="C15" s="115" t="s">
        <v>32</v>
      </c>
      <c r="D15" s="113" t="s">
        <v>33</v>
      </c>
      <c r="E15" s="114" t="s">
        <v>63</v>
      </c>
      <c r="F15" s="114" t="s">
        <v>64</v>
      </c>
      <c r="G15" s="115" t="s">
        <v>65</v>
      </c>
    </row>
    <row r="16" spans="1:120" s="81" customFormat="1" ht="22" customHeight="1" thickBot="1" x14ac:dyDescent="0.25">
      <c r="B16" s="85">
        <v>32000</v>
      </c>
      <c r="C16" s="85">
        <v>152000</v>
      </c>
      <c r="D16" s="85">
        <v>243000</v>
      </c>
      <c r="E16" s="85">
        <v>500123</v>
      </c>
      <c r="F16" s="85">
        <v>320124</v>
      </c>
      <c r="G16" s="86"/>
    </row>
    <row r="17" spans="1:120" s="81" customFormat="1" ht="22" customHeight="1" thickBot="1" x14ac:dyDescent="0.25"/>
    <row r="18" spans="1:120" s="81" customFormat="1" ht="22" customHeight="1" x14ac:dyDescent="0.2">
      <c r="B18" s="99" t="s">
        <v>81</v>
      </c>
    </row>
    <row r="19" spans="1:120" s="81" customFormat="1" ht="22" customHeight="1" thickBot="1" x14ac:dyDescent="0.25">
      <c r="B19" s="102" t="s">
        <v>80</v>
      </c>
    </row>
    <row r="20" spans="1:120" s="81" customFormat="1" ht="22" customHeight="1" x14ac:dyDescent="0.2"/>
    <row r="21" spans="1:120" ht="25.25" customHeight="1" x14ac:dyDescent="0.2">
      <c r="B21" s="145" t="s">
        <v>124</v>
      </c>
      <c r="C21" s="146"/>
      <c r="D21" s="146"/>
      <c r="E21" s="94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</row>
    <row r="22" spans="1:120" ht="25.25" customHeight="1" x14ac:dyDescent="0.2">
      <c r="B22" s="147"/>
      <c r="C22" s="146"/>
      <c r="D22" s="146"/>
      <c r="E22" s="94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</row>
    <row r="23" spans="1:120" s="81" customFormat="1" ht="22" customHeight="1" x14ac:dyDescent="0.2"/>
    <row r="24" spans="1:120" s="81" customFormat="1" ht="28" customHeight="1" x14ac:dyDescent="0.2">
      <c r="B24" s="148" t="s">
        <v>121</v>
      </c>
      <c r="C24" s="149"/>
    </row>
    <row r="25" spans="1:120" s="81" customFormat="1" ht="22" customHeight="1" x14ac:dyDescent="0.2">
      <c r="B25" s="134">
        <v>0</v>
      </c>
      <c r="C25" s="135"/>
    </row>
    <row r="26" spans="1:120" s="81" customFormat="1" ht="15" customHeight="1" thickBot="1" x14ac:dyDescent="0.25"/>
    <row r="27" spans="1:120" ht="20.5" customHeight="1" thickBot="1" x14ac:dyDescent="0.25">
      <c r="A27" s="138"/>
      <c r="B27" s="142" t="s">
        <v>102</v>
      </c>
      <c r="C27" s="143"/>
      <c r="D27" s="143"/>
      <c r="E27" s="143"/>
      <c r="F27" s="143"/>
      <c r="G27" s="144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</row>
    <row r="28" spans="1:120" ht="20.5" customHeight="1" x14ac:dyDescent="0.2">
      <c r="A28" s="138"/>
      <c r="B28" s="116" t="s">
        <v>26</v>
      </c>
      <c r="C28" s="117" t="s">
        <v>32</v>
      </c>
      <c r="D28" s="117" t="s">
        <v>33</v>
      </c>
      <c r="E28" s="117" t="s">
        <v>63</v>
      </c>
      <c r="F28" s="117" t="s">
        <v>64</v>
      </c>
      <c r="G28" s="118" t="s">
        <v>65</v>
      </c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</row>
    <row r="29" spans="1:120" ht="20" customHeight="1" thickBot="1" x14ac:dyDescent="0.25">
      <c r="B29" s="88">
        <v>1442</v>
      </c>
      <c r="C29" s="88">
        <v>124</v>
      </c>
      <c r="D29" s="88">
        <v>83</v>
      </c>
      <c r="E29" s="88">
        <v>84</v>
      </c>
      <c r="F29" s="88">
        <v>45</v>
      </c>
      <c r="G29" s="89">
        <v>98</v>
      </c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</row>
    <row r="30" spans="1:120" s="81" customFormat="1" ht="18" customHeight="1" thickBot="1" x14ac:dyDescent="0.25"/>
    <row r="31" spans="1:120" ht="20.5" customHeight="1" thickBot="1" x14ac:dyDescent="0.25">
      <c r="B31" s="142" t="s">
        <v>103</v>
      </c>
      <c r="C31" s="143"/>
      <c r="D31" s="143"/>
      <c r="E31" s="143"/>
      <c r="F31" s="143"/>
      <c r="G31" s="144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</row>
    <row r="32" spans="1:120" s="81" customFormat="1" ht="22" customHeight="1" x14ac:dyDescent="0.2">
      <c r="B32" s="114" t="s">
        <v>26</v>
      </c>
      <c r="C32" s="115" t="s">
        <v>32</v>
      </c>
      <c r="D32" s="113" t="s">
        <v>33</v>
      </c>
      <c r="E32" s="114" t="s">
        <v>63</v>
      </c>
      <c r="F32" s="114" t="s">
        <v>64</v>
      </c>
      <c r="G32" s="115" t="s">
        <v>65</v>
      </c>
    </row>
    <row r="33" spans="2:18" s="81" customFormat="1" ht="20" customHeight="1" thickBot="1" x14ac:dyDescent="0.25">
      <c r="B33" s="90">
        <v>0.13</v>
      </c>
      <c r="C33" s="90">
        <v>0.13</v>
      </c>
      <c r="D33" s="90">
        <v>0.13</v>
      </c>
      <c r="E33" s="90">
        <v>0.13</v>
      </c>
      <c r="F33" s="90">
        <v>0.13</v>
      </c>
      <c r="G33" s="91"/>
    </row>
    <row r="34" spans="2:18" s="81" customFormat="1" ht="19" customHeight="1" thickBot="1" x14ac:dyDescent="0.25"/>
    <row r="35" spans="2:18" s="81" customFormat="1" ht="21" customHeight="1" x14ac:dyDescent="0.2">
      <c r="B35" s="119" t="s">
        <v>77</v>
      </c>
      <c r="C35" s="115" t="s">
        <v>3</v>
      </c>
    </row>
    <row r="36" spans="2:18" s="81" customFormat="1" ht="21" customHeight="1" thickBot="1" x14ac:dyDescent="0.25">
      <c r="B36" s="92">
        <v>0</v>
      </c>
      <c r="C36" s="93">
        <v>0</v>
      </c>
    </row>
    <row r="37" spans="2:18" s="81" customFormat="1" ht="42" customHeight="1" x14ac:dyDescent="0.2"/>
    <row r="38" spans="2:18" s="81" customFormat="1" ht="117.5" customHeight="1" x14ac:dyDescent="0.2"/>
    <row r="39" spans="2:18" s="81" customFormat="1" ht="37" customHeight="1" thickBot="1" x14ac:dyDescent="0.25">
      <c r="E39" s="132" t="s">
        <v>125</v>
      </c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</row>
    <row r="40" spans="2:18" s="81" customFormat="1" ht="93" customHeight="1" thickTop="1" thickBot="1" x14ac:dyDescent="0.25">
      <c r="E40" s="127" t="s">
        <v>118</v>
      </c>
      <c r="F40" s="128"/>
      <c r="G40" s="129" t="s">
        <v>126</v>
      </c>
      <c r="H40" s="130"/>
      <c r="I40" s="130"/>
      <c r="J40" s="130"/>
      <c r="K40" s="130"/>
      <c r="L40" s="130"/>
      <c r="M40" s="130"/>
      <c r="N40" s="130"/>
      <c r="O40" s="130"/>
      <c r="P40" s="130"/>
      <c r="Q40" s="131"/>
      <c r="R40" s="98"/>
    </row>
    <row r="41" spans="2:18" s="81" customFormat="1" ht="93" customHeight="1" thickTop="1" thickBot="1" x14ac:dyDescent="0.25">
      <c r="E41" s="127" t="s">
        <v>119</v>
      </c>
      <c r="F41" s="128" t="s">
        <v>119</v>
      </c>
      <c r="G41" s="129" t="s">
        <v>127</v>
      </c>
      <c r="H41" s="130"/>
      <c r="I41" s="130"/>
      <c r="J41" s="130"/>
      <c r="K41" s="130"/>
      <c r="L41" s="130"/>
      <c r="M41" s="130"/>
      <c r="N41" s="130"/>
      <c r="O41" s="130"/>
      <c r="P41" s="130"/>
      <c r="Q41" s="131"/>
      <c r="R41" s="97"/>
    </row>
    <row r="42" spans="2:18" s="81" customFormat="1" ht="93" customHeight="1" thickTop="1" thickBot="1" x14ac:dyDescent="0.25">
      <c r="E42" s="127" t="s">
        <v>30</v>
      </c>
      <c r="F42" s="128" t="s">
        <v>30</v>
      </c>
      <c r="G42" s="129" t="s">
        <v>120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1"/>
    </row>
    <row r="43" spans="2:18" s="81" customFormat="1" ht="93" customHeight="1" thickTop="1" thickBot="1" x14ac:dyDescent="0.25">
      <c r="E43" s="127" t="s">
        <v>1</v>
      </c>
      <c r="F43" s="128" t="s">
        <v>1</v>
      </c>
      <c r="G43" s="129" t="s">
        <v>131</v>
      </c>
      <c r="H43" s="130"/>
      <c r="I43" s="130"/>
      <c r="J43" s="130"/>
      <c r="K43" s="130"/>
      <c r="L43" s="130"/>
      <c r="M43" s="130"/>
      <c r="N43" s="130"/>
      <c r="O43" s="130"/>
      <c r="P43" s="130"/>
      <c r="Q43" s="131"/>
    </row>
    <row r="44" spans="2:18" s="81" customFormat="1" ht="93" customHeight="1" thickTop="1" thickBot="1" x14ac:dyDescent="0.25">
      <c r="E44" s="127" t="s">
        <v>123</v>
      </c>
      <c r="F44" s="128"/>
      <c r="G44" s="129" t="s">
        <v>128</v>
      </c>
      <c r="H44" s="130"/>
      <c r="I44" s="130"/>
      <c r="J44" s="130"/>
      <c r="K44" s="130"/>
      <c r="L44" s="130"/>
      <c r="M44" s="130"/>
      <c r="N44" s="130"/>
      <c r="O44" s="130"/>
      <c r="P44" s="130"/>
      <c r="Q44" s="131"/>
    </row>
    <row r="45" spans="2:18" s="81" customFormat="1" ht="93" customHeight="1" thickTop="1" thickBot="1" x14ac:dyDescent="0.25">
      <c r="E45" s="127" t="s">
        <v>28</v>
      </c>
      <c r="F45" s="128"/>
      <c r="G45" s="129" t="s">
        <v>129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1"/>
    </row>
    <row r="46" spans="2:18" s="81" customFormat="1" ht="93" customHeight="1" thickTop="1" thickBot="1" x14ac:dyDescent="0.25">
      <c r="E46" s="127" t="s">
        <v>122</v>
      </c>
      <c r="F46" s="128"/>
      <c r="G46" s="129" t="s">
        <v>130</v>
      </c>
      <c r="H46" s="130"/>
      <c r="I46" s="130"/>
      <c r="J46" s="130"/>
      <c r="K46" s="130"/>
      <c r="L46" s="130"/>
      <c r="M46" s="130"/>
      <c r="N46" s="130"/>
      <c r="O46" s="130"/>
      <c r="P46" s="130"/>
      <c r="Q46" s="131"/>
    </row>
    <row r="47" spans="2:18" s="82" customFormat="1" ht="6.5" customHeight="1" thickTop="1" x14ac:dyDescent="0.2">
      <c r="B47" s="150" t="s">
        <v>78</v>
      </c>
      <c r="C47" s="150"/>
    </row>
    <row r="48" spans="2:18" s="82" customFormat="1" ht="6.5" customHeight="1" x14ac:dyDescent="0.2">
      <c r="B48" s="150"/>
      <c r="C48" s="150"/>
    </row>
    <row r="49" spans="1:7" s="82" customFormat="1" ht="6.5" customHeight="1" x14ac:dyDescent="0.15">
      <c r="B49" s="104"/>
      <c r="C49" s="104"/>
      <c r="D49" s="104"/>
      <c r="E49" s="104"/>
      <c r="F49" s="105"/>
      <c r="G49" s="104"/>
    </row>
    <row r="50" spans="1:7" s="82" customFormat="1" ht="23" customHeight="1" x14ac:dyDescent="0.2">
      <c r="A50" s="136" t="s">
        <v>108</v>
      </c>
      <c r="B50" s="120" t="s">
        <v>30</v>
      </c>
      <c r="C50" s="121" t="s">
        <v>28</v>
      </c>
      <c r="D50" s="120" t="s">
        <v>71</v>
      </c>
      <c r="E50" s="120" t="s">
        <v>66</v>
      </c>
      <c r="F50" s="106"/>
      <c r="G50" s="104"/>
    </row>
    <row r="51" spans="1:7" s="82" customFormat="1" ht="23" customHeight="1" x14ac:dyDescent="0.2">
      <c r="A51" s="136"/>
      <c r="B51" s="122">
        <f>Fourniture!R20</f>
        <v>146071.49128920003</v>
      </c>
      <c r="C51" s="122">
        <f>IF(D8="Btinf",'Acheminement BTINF'!C45,IF(D8="Btsup",'Acheminement BTSUP'!C45,IF(D8="HTA",'Acheminement HTA'!C45)))</f>
        <v>47974.278699999995</v>
      </c>
      <c r="D51" s="122">
        <f>'Taxe et Contribution'!C10</f>
        <v>34694.176716000002</v>
      </c>
      <c r="E51" s="123">
        <f>SUM(B51:D51)</f>
        <v>228739.94670520001</v>
      </c>
      <c r="F51" s="106"/>
      <c r="G51" s="107"/>
    </row>
    <row r="52" spans="1:7" s="82" customFormat="1" ht="23" customHeight="1" x14ac:dyDescent="0.2">
      <c r="F52" s="106"/>
      <c r="G52" s="105"/>
    </row>
    <row r="53" spans="1:7" s="82" customFormat="1" ht="23" customHeight="1" x14ac:dyDescent="0.2">
      <c r="A53" s="137" t="s">
        <v>107</v>
      </c>
      <c r="B53" s="124" t="s">
        <v>30</v>
      </c>
      <c r="C53" s="124" t="s">
        <v>28</v>
      </c>
      <c r="D53" s="124" t="s">
        <v>71</v>
      </c>
      <c r="E53" s="124" t="s">
        <v>66</v>
      </c>
      <c r="F53" s="106"/>
      <c r="G53" s="107"/>
    </row>
    <row r="54" spans="1:7" s="82" customFormat="1" ht="19" customHeight="1" x14ac:dyDescent="0.2">
      <c r="A54" s="137"/>
      <c r="B54" s="125">
        <f>Fourniture!S20</f>
        <v>175285.78954704004</v>
      </c>
      <c r="C54" s="125">
        <f>IF(D8="BTINF",'Acheminement BTINF'!C48,IF(D8="Btsup",'Acheminement BTSUP'!C48,IF(D8="HTA",'Acheminement HTA'!C48)))</f>
        <v>57569.134439999994</v>
      </c>
      <c r="D54" s="125">
        <f>'Taxe et Contribution'!C10</f>
        <v>34694.176716000002</v>
      </c>
      <c r="E54" s="126">
        <f>SUM(B54:D54)</f>
        <v>267549.10070304002</v>
      </c>
      <c r="F54" s="106"/>
      <c r="G54" s="105"/>
    </row>
    <row r="55" spans="1:7" s="82" customFormat="1" ht="19" customHeight="1" x14ac:dyDescent="0.2">
      <c r="B55" s="103"/>
      <c r="C55" s="103"/>
      <c r="D55" s="103"/>
      <c r="E55" s="108"/>
      <c r="F55" s="106"/>
      <c r="G55" s="109"/>
    </row>
    <row r="56" spans="1:7" s="81" customFormat="1" x14ac:dyDescent="0.15">
      <c r="B56" s="104"/>
      <c r="C56" s="104"/>
      <c r="D56" s="104"/>
      <c r="E56" s="104"/>
      <c r="F56" s="110"/>
      <c r="G56" s="104"/>
    </row>
    <row r="57" spans="1:7" s="81" customFormat="1" x14ac:dyDescent="0.15">
      <c r="B57" s="104"/>
      <c r="C57" s="104"/>
      <c r="D57" s="104"/>
      <c r="E57" s="104"/>
      <c r="F57" s="104"/>
      <c r="G57" s="105"/>
    </row>
    <row r="58" spans="1:7" s="81" customFormat="1" x14ac:dyDescent="0.15">
      <c r="B58" s="104"/>
      <c r="C58" s="104"/>
      <c r="D58" s="104"/>
      <c r="E58" s="104"/>
      <c r="F58" s="104"/>
      <c r="G58" s="105"/>
    </row>
    <row r="59" spans="1:7" s="81" customFormat="1" x14ac:dyDescent="0.2">
      <c r="B59" s="104"/>
      <c r="C59" s="104"/>
      <c r="D59" s="104"/>
      <c r="E59" s="104"/>
      <c r="F59" s="104"/>
      <c r="G59" s="104"/>
    </row>
    <row r="60" spans="1:7" s="81" customFormat="1" x14ac:dyDescent="0.2">
      <c r="B60" s="104"/>
      <c r="C60" s="104"/>
      <c r="D60" s="104"/>
      <c r="E60" s="104"/>
      <c r="F60" s="104"/>
      <c r="G60" s="104"/>
    </row>
    <row r="61" spans="1:7" s="81" customFormat="1" x14ac:dyDescent="0.2"/>
    <row r="62" spans="1:7" s="81" customFormat="1" x14ac:dyDescent="0.15">
      <c r="G62" s="95"/>
    </row>
    <row r="63" spans="1:7" s="81" customFormat="1" x14ac:dyDescent="0.2">
      <c r="G63" s="96"/>
    </row>
    <row r="64" spans="1:7" s="81" customFormat="1" x14ac:dyDescent="0.2">
      <c r="G64" s="96"/>
    </row>
    <row r="65" s="81" customFormat="1" x14ac:dyDescent="0.2"/>
    <row r="66" s="81" customFormat="1" x14ac:dyDescent="0.2"/>
    <row r="67" s="81" customFormat="1" x14ac:dyDescent="0.2"/>
    <row r="68" s="81" customFormat="1" x14ac:dyDescent="0.2"/>
    <row r="69" s="81" customFormat="1" x14ac:dyDescent="0.2"/>
    <row r="70" s="81" customFormat="1" x14ac:dyDescent="0.2"/>
    <row r="71" s="81" customFormat="1" x14ac:dyDescent="0.2"/>
    <row r="72" s="81" customFormat="1" x14ac:dyDescent="0.2"/>
    <row r="73" s="81" customFormat="1" x14ac:dyDescent="0.2"/>
    <row r="74" s="81" customFormat="1" x14ac:dyDescent="0.2"/>
    <row r="75" s="81" customFormat="1" x14ac:dyDescent="0.2"/>
    <row r="76" s="81" customFormat="1" x14ac:dyDescent="0.2"/>
    <row r="77" s="81" customFormat="1" x14ac:dyDescent="0.2"/>
    <row r="78" s="81" customFormat="1" x14ac:dyDescent="0.2"/>
    <row r="79" s="81" customFormat="1" x14ac:dyDescent="0.2"/>
    <row r="80" s="81" customFormat="1" x14ac:dyDescent="0.2"/>
    <row r="81" s="81" customFormat="1" x14ac:dyDescent="0.2"/>
    <row r="82" s="81" customFormat="1" x14ac:dyDescent="0.2"/>
    <row r="83" s="81" customFormat="1" x14ac:dyDescent="0.2"/>
    <row r="84" s="81" customFormat="1" x14ac:dyDescent="0.2"/>
    <row r="85" s="81" customFormat="1" x14ac:dyDescent="0.2"/>
    <row r="86" s="81" customFormat="1" x14ac:dyDescent="0.2"/>
    <row r="87" s="81" customFormat="1" x14ac:dyDescent="0.2"/>
    <row r="88" s="81" customFormat="1" x14ac:dyDescent="0.2"/>
    <row r="89" s="81" customFormat="1" x14ac:dyDescent="0.2"/>
    <row r="90" s="81" customFormat="1" x14ac:dyDescent="0.2"/>
    <row r="91" s="81" customFormat="1" x14ac:dyDescent="0.2"/>
    <row r="92" s="81" customFormat="1" x14ac:dyDescent="0.2"/>
    <row r="93" s="81" customFormat="1" x14ac:dyDescent="0.2"/>
    <row r="94" s="81" customFormat="1" x14ac:dyDescent="0.2"/>
    <row r="95" s="81" customFormat="1" x14ac:dyDescent="0.2"/>
    <row r="96" s="81" customFormat="1" x14ac:dyDescent="0.2"/>
    <row r="97" s="81" customFormat="1" x14ac:dyDescent="0.2"/>
    <row r="98" s="81" customFormat="1" x14ac:dyDescent="0.2"/>
    <row r="99" s="81" customFormat="1" x14ac:dyDescent="0.2"/>
    <row r="100" s="81" customFormat="1" x14ac:dyDescent="0.2"/>
    <row r="101" s="81" customFormat="1" x14ac:dyDescent="0.2"/>
    <row r="102" s="81" customFormat="1" x14ac:dyDescent="0.2"/>
    <row r="103" s="81" customFormat="1" x14ac:dyDescent="0.2"/>
    <row r="104" s="81" customFormat="1" x14ac:dyDescent="0.2"/>
    <row r="105" s="81" customFormat="1" x14ac:dyDescent="0.2"/>
    <row r="106" s="81" customFormat="1" x14ac:dyDescent="0.2"/>
    <row r="107" s="81" customFormat="1" x14ac:dyDescent="0.2"/>
    <row r="108" s="81" customFormat="1" x14ac:dyDescent="0.2"/>
    <row r="109" s="81" customFormat="1" x14ac:dyDescent="0.2"/>
    <row r="110" s="81" customFormat="1" x14ac:dyDescent="0.2"/>
    <row r="111" s="81" customFormat="1" x14ac:dyDescent="0.2"/>
    <row r="112" s="81" customFormat="1" x14ac:dyDescent="0.2"/>
    <row r="113" s="81" customFormat="1" x14ac:dyDescent="0.2"/>
    <row r="114" s="81" customFormat="1" x14ac:dyDescent="0.2"/>
    <row r="115" s="81" customFormat="1" x14ac:dyDescent="0.2"/>
    <row r="116" s="81" customFormat="1" x14ac:dyDescent="0.2"/>
    <row r="117" s="81" customFormat="1" x14ac:dyDescent="0.2"/>
    <row r="118" s="81" customFormat="1" x14ac:dyDescent="0.2"/>
    <row r="119" s="81" customFormat="1" x14ac:dyDescent="0.2"/>
    <row r="120" s="81" customFormat="1" x14ac:dyDescent="0.2"/>
    <row r="121" s="81" customFormat="1" x14ac:dyDescent="0.2"/>
    <row r="122" s="81" customFormat="1" x14ac:dyDescent="0.2"/>
    <row r="123" s="81" customFormat="1" x14ac:dyDescent="0.2"/>
    <row r="124" s="81" customFormat="1" x14ac:dyDescent="0.2"/>
    <row r="125" s="81" customFormat="1" x14ac:dyDescent="0.2"/>
    <row r="126" s="81" customFormat="1" x14ac:dyDescent="0.2"/>
    <row r="127" s="81" customFormat="1" x14ac:dyDescent="0.2"/>
    <row r="128" s="81" customFormat="1" x14ac:dyDescent="0.2"/>
    <row r="129" s="81" customFormat="1" x14ac:dyDescent="0.2"/>
    <row r="130" s="81" customFormat="1" x14ac:dyDescent="0.2"/>
    <row r="131" s="81" customFormat="1" x14ac:dyDescent="0.2"/>
    <row r="132" s="81" customFormat="1" x14ac:dyDescent="0.2"/>
    <row r="133" s="81" customFormat="1" x14ac:dyDescent="0.2"/>
    <row r="134" s="81" customFormat="1" x14ac:dyDescent="0.2"/>
    <row r="135" s="81" customFormat="1" x14ac:dyDescent="0.2"/>
    <row r="136" s="81" customFormat="1" x14ac:dyDescent="0.2"/>
    <row r="137" s="81" customFormat="1" x14ac:dyDescent="0.2"/>
    <row r="138" s="81" customFormat="1" x14ac:dyDescent="0.2"/>
    <row r="139" s="81" customFormat="1" x14ac:dyDescent="0.2"/>
    <row r="140" s="81" customFormat="1" x14ac:dyDescent="0.2"/>
    <row r="141" s="81" customFormat="1" x14ac:dyDescent="0.2"/>
    <row r="142" s="81" customFormat="1" x14ac:dyDescent="0.2"/>
    <row r="143" s="81" customFormat="1" x14ac:dyDescent="0.2"/>
    <row r="144" s="81" customFormat="1" x14ac:dyDescent="0.2"/>
    <row r="145" s="81" customFormat="1" x14ac:dyDescent="0.2"/>
    <row r="146" s="81" customFormat="1" x14ac:dyDescent="0.2"/>
    <row r="147" s="81" customFormat="1" x14ac:dyDescent="0.2"/>
    <row r="148" s="81" customFormat="1" x14ac:dyDescent="0.2"/>
    <row r="149" s="81" customFormat="1" x14ac:dyDescent="0.2"/>
    <row r="150" s="81" customFormat="1" x14ac:dyDescent="0.2"/>
    <row r="151" s="81" customFormat="1" x14ac:dyDescent="0.2"/>
    <row r="152" s="81" customFormat="1" x14ac:dyDescent="0.2"/>
    <row r="153" s="81" customFormat="1" x14ac:dyDescent="0.2"/>
    <row r="154" s="81" customFormat="1" x14ac:dyDescent="0.2"/>
    <row r="155" s="81" customFormat="1" x14ac:dyDescent="0.2"/>
    <row r="156" s="81" customFormat="1" x14ac:dyDescent="0.2"/>
    <row r="157" s="81" customFormat="1" x14ac:dyDescent="0.2"/>
    <row r="158" s="81" customFormat="1" x14ac:dyDescent="0.2"/>
    <row r="159" s="81" customFormat="1" x14ac:dyDescent="0.2"/>
    <row r="160" s="81" customFormat="1" x14ac:dyDescent="0.2"/>
    <row r="161" s="81" customFormat="1" x14ac:dyDescent="0.2"/>
    <row r="162" s="81" customFormat="1" x14ac:dyDescent="0.2"/>
  </sheetData>
  <mergeCells count="32">
    <mergeCell ref="BO6:BP6"/>
    <mergeCell ref="BO9:BP9"/>
    <mergeCell ref="BO12:BP12"/>
    <mergeCell ref="B2:G2"/>
    <mergeCell ref="L2:Q2"/>
    <mergeCell ref="B10:G10"/>
    <mergeCell ref="B4:D5"/>
    <mergeCell ref="A50:A51"/>
    <mergeCell ref="A53:A54"/>
    <mergeCell ref="A27:A28"/>
    <mergeCell ref="B14:G14"/>
    <mergeCell ref="B31:G31"/>
    <mergeCell ref="B27:G27"/>
    <mergeCell ref="E46:F46"/>
    <mergeCell ref="G46:Q46"/>
    <mergeCell ref="B21:D22"/>
    <mergeCell ref="B24:C24"/>
    <mergeCell ref="E41:F41"/>
    <mergeCell ref="G41:Q41"/>
    <mergeCell ref="E43:F43"/>
    <mergeCell ref="G43:Q43"/>
    <mergeCell ref="B47:C48"/>
    <mergeCell ref="B25:C25"/>
    <mergeCell ref="E40:F40"/>
    <mergeCell ref="G40:Q40"/>
    <mergeCell ref="E44:F44"/>
    <mergeCell ref="G44:Q44"/>
    <mergeCell ref="E45:F45"/>
    <mergeCell ref="G45:Q45"/>
    <mergeCell ref="E42:F42"/>
    <mergeCell ref="G42:Q42"/>
    <mergeCell ref="E39:Q39"/>
  </mergeCells>
  <conditionalFormatting sqref="B12 B16 B29 B33">
    <cfRule type="expression" dxfId="8" priority="5">
      <formula>OR($D$8="BTsup", $D$8="BTinf")</formula>
    </cfRule>
  </conditionalFormatting>
  <conditionalFormatting sqref="C12:F12 C16:F16 C29:F29 C33:F33">
    <cfRule type="expression" dxfId="7" priority="40">
      <formula>AND($D$8="BTINF", OR($E$8="CUPF",$E$8="LUPF"))</formula>
    </cfRule>
  </conditionalFormatting>
  <conditionalFormatting sqref="C12:F12">
    <cfRule type="expression" dxfId="6" priority="4">
      <formula>OR(AND($D$8="BTINF",$E$8="CU"),AND($D$8="BTINF",$E$8="LU"))</formula>
    </cfRule>
  </conditionalFormatting>
  <conditionalFormatting sqref="C16:F16 C29:F29">
    <cfRule type="expression" dxfId="5" priority="42">
      <formula>OR(AND($D$8="BTINF",$E$8="CU"),AND($D$8="BTINF",$E$8="LU"))</formula>
    </cfRule>
  </conditionalFormatting>
  <conditionalFormatting sqref="C33:F33">
    <cfRule type="expression" dxfId="4" priority="3">
      <formula>OR(AND($D$8="BTINF",$E$8="CU"),AND($D$8="BTINF",$E$8="LU"))</formula>
    </cfRule>
  </conditionalFormatting>
  <conditionalFormatting sqref="G12 G16 G29 G33">
    <cfRule type="expression" dxfId="3" priority="44" stopIfTrue="1">
      <formula>OR($D$8="BTSUP", $D$8="HTA",AND($D$8="BTINF",OR($E$8="CU 4",$E$8="MU 4",$E$8="MU DT")))</formula>
    </cfRule>
  </conditionalFormatting>
  <conditionalFormatting sqref="G40:G46">
    <cfRule type="expression" dxfId="2" priority="1">
      <formula>OR(AND($D$8="BTINF",$E$8="CU"),AND($D$8="BTINF",$E$8="LU"))</formula>
    </cfRule>
    <cfRule type="expression" dxfId="1" priority="2">
      <formula>AND($D$8="BTINF", OR($E$8="CUPF",$E$8="LUPF"))</formula>
    </cfRule>
  </conditionalFormatting>
  <dataValidations disablePrompts="1" count="3">
    <dataValidation type="list" allowBlank="1" showInputMessage="1" showErrorMessage="1" sqref="D8:D9" xr:uid="{00000000-0002-0000-0000-000000000000}">
      <formula1>liste_segment</formula1>
    </dataValidation>
    <dataValidation type="list" allowBlank="1" showInputMessage="1" showErrorMessage="1" sqref="B19" xr:uid="{00000000-0002-0000-0000-000001000000}">
      <formula1>Cadre</formula1>
    </dataValidation>
    <dataValidation type="list" allowBlank="1" showInputMessage="1" showErrorMessage="1" sqref="E8:E9" xr:uid="{00000000-0002-0000-0000-000002000000}">
      <formula1>INDIRECT($D$8)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2"/>
  <sheetViews>
    <sheetView topLeftCell="D1" zoomScale="81" zoomScaleNormal="81" workbookViewId="0">
      <selection activeCell="E12" sqref="E12"/>
    </sheetView>
  </sheetViews>
  <sheetFormatPr baseColWidth="10" defaultRowHeight="16" x14ac:dyDescent="0.2"/>
  <cols>
    <col min="2" max="2" width="20.5" customWidth="1"/>
    <col min="3" max="3" width="32.6640625" customWidth="1"/>
    <col min="4" max="4" width="21.6640625" customWidth="1"/>
    <col min="5" max="5" width="24.6640625" bestFit="1" customWidth="1"/>
    <col min="6" max="6" width="23.83203125" bestFit="1" customWidth="1"/>
    <col min="7" max="7" width="23.83203125" style="14" customWidth="1"/>
    <col min="8" max="8" width="23.83203125" customWidth="1"/>
    <col min="9" max="9" width="19.1640625" customWidth="1"/>
    <col min="10" max="10" width="15.1640625" customWidth="1"/>
    <col min="11" max="11" width="12.83203125" bestFit="1" customWidth="1"/>
    <col min="12" max="12" width="23.83203125" bestFit="1" customWidth="1"/>
    <col min="13" max="13" width="11" bestFit="1" customWidth="1"/>
    <col min="14" max="14" width="21.1640625" customWidth="1"/>
    <col min="15" max="15" width="12.33203125" bestFit="1" customWidth="1"/>
    <col min="16" max="16" width="11.1640625" bestFit="1" customWidth="1"/>
    <col min="17" max="17" width="11" customWidth="1"/>
    <col min="18" max="18" width="19" customWidth="1"/>
    <col min="19" max="19" width="15.5" customWidth="1"/>
    <col min="20" max="20" width="11" bestFit="1" customWidth="1"/>
    <col min="21" max="21" width="12.33203125" bestFit="1" customWidth="1"/>
    <col min="22" max="22" width="14" customWidth="1"/>
    <col min="23" max="35" width="11" bestFit="1" customWidth="1"/>
    <col min="36" max="36" width="12.5" bestFit="1" customWidth="1"/>
    <col min="37" max="37" width="27.6640625" customWidth="1"/>
    <col min="38" max="38" width="14" bestFit="1" customWidth="1"/>
    <col min="39" max="39" width="13.1640625" bestFit="1" customWidth="1"/>
    <col min="40" max="41" width="18" customWidth="1"/>
    <col min="42" max="42" width="11.5" customWidth="1"/>
    <col min="43" max="43" width="11.6640625" bestFit="1" customWidth="1"/>
    <col min="44" max="44" width="12.1640625" bestFit="1" customWidth="1"/>
    <col min="45" max="45" width="11.6640625" bestFit="1" customWidth="1"/>
    <col min="46" max="46" width="18.83203125" customWidth="1"/>
    <col min="47" max="47" width="11.6640625" bestFit="1" customWidth="1"/>
    <col min="48" max="48" width="11.5" customWidth="1"/>
    <col min="49" max="49" width="11.6640625" bestFit="1" customWidth="1"/>
    <col min="50" max="50" width="13.1640625" bestFit="1" customWidth="1"/>
    <col min="51" max="51" width="15.33203125" bestFit="1" customWidth="1"/>
    <col min="52" max="52" width="11.6640625" bestFit="1" customWidth="1"/>
    <col min="58" max="58" width="12.83203125" bestFit="1" customWidth="1"/>
  </cols>
  <sheetData>
    <row r="1" spans="1:36" ht="16" customHeight="1" x14ac:dyDescent="0.3">
      <c r="B1" s="161"/>
      <c r="C1" s="161"/>
      <c r="D1" s="161"/>
      <c r="E1" s="161"/>
      <c r="F1" s="161"/>
      <c r="G1" s="12"/>
      <c r="H1" s="1"/>
    </row>
    <row r="2" spans="1:36" ht="32" x14ac:dyDescent="0.2">
      <c r="A2" s="71" t="s">
        <v>9</v>
      </c>
      <c r="B2" s="71" t="s">
        <v>10</v>
      </c>
      <c r="C2" s="71" t="s">
        <v>96</v>
      </c>
      <c r="D2" s="71" t="s">
        <v>67</v>
      </c>
      <c r="E2" s="71" t="s">
        <v>98</v>
      </c>
      <c r="F2" s="71" t="s">
        <v>95</v>
      </c>
      <c r="G2" s="71" t="s">
        <v>99</v>
      </c>
      <c r="H2" s="71" t="s">
        <v>100</v>
      </c>
      <c r="I2" s="71" t="s">
        <v>11</v>
      </c>
      <c r="J2" s="71" t="s">
        <v>97</v>
      </c>
      <c r="K2" s="64" t="s">
        <v>2</v>
      </c>
      <c r="R2" s="64" t="s">
        <v>25</v>
      </c>
      <c r="S2" s="10">
        <v>28</v>
      </c>
    </row>
    <row r="3" spans="1:36" x14ac:dyDescent="0.2">
      <c r="A3" s="6" t="str">
        <f>'Fichier E et S'!E8</f>
        <v>LUPM</v>
      </c>
      <c r="B3" s="6" t="str">
        <f>'Fichier E et S'!D8</f>
        <v>BTSUP</v>
      </c>
      <c r="C3" s="72"/>
      <c r="D3" s="15">
        <f>'Fichier E et S'!B16</f>
        <v>32000</v>
      </c>
      <c r="E3" s="15">
        <f>'Fichier E et S'!C16</f>
        <v>152000</v>
      </c>
      <c r="F3" s="15">
        <f>'Fichier E et S'!D16</f>
        <v>243000</v>
      </c>
      <c r="G3" s="15">
        <f>'Fichier E et S'!E16</f>
        <v>500123</v>
      </c>
      <c r="H3" s="15">
        <f>'Fichier E et S'!F16</f>
        <v>320124</v>
      </c>
      <c r="I3" s="15">
        <f>'Fichier E et S'!G16</f>
        <v>0</v>
      </c>
      <c r="J3" s="6">
        <f>SUM(D3:I3)</f>
        <v>1247247</v>
      </c>
      <c r="K3" s="72"/>
      <c r="R3" s="64" t="s">
        <v>101</v>
      </c>
      <c r="S3" s="9">
        <v>0.99</v>
      </c>
    </row>
    <row r="4" spans="1:36" ht="28" hidden="1" x14ac:dyDescent="0.2">
      <c r="B4" s="2"/>
      <c r="C4" s="2"/>
      <c r="D4" s="2"/>
      <c r="E4" s="2"/>
      <c r="F4" s="2"/>
      <c r="G4" s="13"/>
      <c r="H4" s="2"/>
      <c r="N4" s="11" t="s">
        <v>25</v>
      </c>
      <c r="O4" s="10">
        <v>28</v>
      </c>
      <c r="R4" s="64"/>
    </row>
    <row r="5" spans="1:36" ht="15" customHeight="1" x14ac:dyDescent="0.2">
      <c r="B5" s="2"/>
      <c r="C5" s="2"/>
      <c r="D5" s="2"/>
      <c r="E5" s="2"/>
      <c r="F5" s="2"/>
      <c r="G5" s="13"/>
      <c r="H5" s="2"/>
    </row>
    <row r="6" spans="1:36" x14ac:dyDescent="0.2">
      <c r="B6" s="2"/>
      <c r="C6" s="2"/>
      <c r="D6" s="2"/>
      <c r="E6" s="2"/>
      <c r="F6" s="2"/>
      <c r="G6" s="13"/>
      <c r="H6" s="2"/>
    </row>
    <row r="7" spans="1:36" ht="19" x14ac:dyDescent="0.25">
      <c r="A7" s="162" t="s">
        <v>91</v>
      </c>
      <c r="B7" s="163"/>
      <c r="C7" s="163"/>
      <c r="D7" s="163"/>
      <c r="E7" s="163"/>
      <c r="G7"/>
    </row>
    <row r="8" spans="1:36" ht="13" customHeight="1" x14ac:dyDescent="0.2">
      <c r="G8"/>
    </row>
    <row r="9" spans="1:36" ht="12" customHeight="1" x14ac:dyDescent="0.2">
      <c r="C9" s="57" t="s">
        <v>90</v>
      </c>
      <c r="D9" s="58" t="s">
        <v>0</v>
      </c>
      <c r="E9" s="59"/>
      <c r="F9" s="59"/>
      <c r="G9" s="59"/>
      <c r="H9" s="60"/>
      <c r="I9" s="59"/>
      <c r="J9" s="58" t="s">
        <v>1</v>
      </c>
      <c r="K9" s="59"/>
      <c r="L9" s="59"/>
      <c r="M9" s="59"/>
      <c r="N9" s="59"/>
      <c r="O9" s="59"/>
      <c r="P9" s="61" t="s">
        <v>2</v>
      </c>
      <c r="Q9" s="67" t="s">
        <v>3</v>
      </c>
    </row>
    <row r="10" spans="1:36" x14ac:dyDescent="0.2">
      <c r="C10" s="62"/>
      <c r="D10" s="62" t="s">
        <v>5</v>
      </c>
      <c r="E10" s="62" t="s">
        <v>5</v>
      </c>
      <c r="F10" s="62" t="s">
        <v>5</v>
      </c>
      <c r="G10" s="62" t="s">
        <v>5</v>
      </c>
      <c r="H10" s="62" t="s">
        <v>5</v>
      </c>
      <c r="I10" s="62" t="s">
        <v>5</v>
      </c>
      <c r="J10" s="63" t="s">
        <v>6</v>
      </c>
      <c r="K10" s="63" t="s">
        <v>6</v>
      </c>
      <c r="L10" s="63" t="s">
        <v>6</v>
      </c>
      <c r="M10" s="63" t="s">
        <v>6</v>
      </c>
      <c r="N10" s="63" t="s">
        <v>6</v>
      </c>
      <c r="O10" s="63" t="s">
        <v>6</v>
      </c>
      <c r="P10" s="65" t="s">
        <v>5</v>
      </c>
      <c r="Q10" s="62" t="s">
        <v>5</v>
      </c>
    </row>
    <row r="11" spans="1:36" ht="32" x14ac:dyDescent="0.2">
      <c r="C11" s="64" t="s">
        <v>12</v>
      </c>
      <c r="D11" s="64" t="s">
        <v>13</v>
      </c>
      <c r="E11" s="64" t="s">
        <v>14</v>
      </c>
      <c r="F11" s="64" t="s">
        <v>15</v>
      </c>
      <c r="G11" s="64" t="s">
        <v>16</v>
      </c>
      <c r="H11" s="64" t="s">
        <v>17</v>
      </c>
      <c r="I11" s="64" t="s">
        <v>18</v>
      </c>
      <c r="J11" s="64" t="s">
        <v>19</v>
      </c>
      <c r="K11" s="64" t="s">
        <v>20</v>
      </c>
      <c r="L11" s="64" t="s">
        <v>21</v>
      </c>
      <c r="M11" s="64" t="s">
        <v>22</v>
      </c>
      <c r="N11" s="64" t="s">
        <v>23</v>
      </c>
      <c r="O11" s="64" t="s">
        <v>93</v>
      </c>
      <c r="P11" s="66" t="s">
        <v>24</v>
      </c>
      <c r="Q11" s="64" t="s">
        <v>3</v>
      </c>
    </row>
    <row r="12" spans="1:36" x14ac:dyDescent="0.2">
      <c r="C12" s="22">
        <f>'Fichier E et S'!B25</f>
        <v>0</v>
      </c>
      <c r="D12" s="22">
        <f>'Fichier E et S'!B29</f>
        <v>1442</v>
      </c>
      <c r="E12" s="22">
        <f>'Fichier E et S'!C29</f>
        <v>124</v>
      </c>
      <c r="F12" s="22">
        <f>'Fichier E et S'!D29</f>
        <v>83</v>
      </c>
      <c r="G12" s="22">
        <f>'Fichier E et S'!E29</f>
        <v>84</v>
      </c>
      <c r="H12" s="22">
        <f>'Fichier E et S'!F29</f>
        <v>45</v>
      </c>
      <c r="I12" s="22">
        <f>'Fichier E et S'!G29</f>
        <v>98</v>
      </c>
      <c r="J12" s="22">
        <f>'Fichier E et S'!B33</f>
        <v>0.13</v>
      </c>
      <c r="K12" s="22">
        <f>'Fichier E et S'!C33</f>
        <v>0.13</v>
      </c>
      <c r="L12" s="22">
        <f>'Fichier E et S'!D33</f>
        <v>0.13</v>
      </c>
      <c r="M12" s="22">
        <f>'Fichier E et S'!E33</f>
        <v>0.13</v>
      </c>
      <c r="N12" s="22">
        <f>'Fichier E et S'!F33</f>
        <v>0.13</v>
      </c>
      <c r="O12" s="22">
        <f>'Fichier E et S'!G33</f>
        <v>0</v>
      </c>
      <c r="P12" s="22">
        <f>'Fichier E et S'!B36</f>
        <v>0</v>
      </c>
      <c r="Q12" s="22">
        <f>'Fichier E et S'!C36</f>
        <v>0</v>
      </c>
      <c r="R12" s="4"/>
      <c r="S12" s="4"/>
      <c r="T12" s="4"/>
      <c r="AJ12" s="4"/>
    </row>
    <row r="13" spans="1:36" x14ac:dyDescent="0.2">
      <c r="G13"/>
      <c r="I13" s="4"/>
      <c r="J13" s="4"/>
      <c r="K13" s="5"/>
      <c r="L13" s="4"/>
      <c r="M13" s="4"/>
      <c r="N13" s="4"/>
      <c r="O13" s="4"/>
      <c r="P13" s="4"/>
      <c r="Q13" s="4"/>
      <c r="R13" s="4"/>
      <c r="S13" s="4"/>
      <c r="AJ13" s="4"/>
    </row>
    <row r="14" spans="1:36" x14ac:dyDescent="0.2">
      <c r="G14"/>
      <c r="AJ14" s="4"/>
    </row>
    <row r="15" spans="1:36" ht="19" x14ac:dyDescent="0.25">
      <c r="A15" s="162" t="s">
        <v>92</v>
      </c>
      <c r="B15" s="163"/>
      <c r="C15" s="163"/>
      <c r="D15" s="163"/>
      <c r="E15" s="163"/>
      <c r="G15"/>
    </row>
    <row r="16" spans="1:36" x14ac:dyDescent="0.2">
      <c r="G16"/>
    </row>
    <row r="17" spans="4:19" x14ac:dyDescent="0.2">
      <c r="D17" s="73" t="s">
        <v>0</v>
      </c>
      <c r="E17" s="74"/>
      <c r="F17" s="74"/>
      <c r="G17" s="74"/>
      <c r="H17" s="74"/>
      <c r="I17" s="75"/>
      <c r="J17" s="58" t="s">
        <v>1</v>
      </c>
      <c r="K17" s="59"/>
      <c r="L17" s="59"/>
      <c r="M17" s="59"/>
      <c r="N17" s="59"/>
      <c r="O17" s="60"/>
      <c r="P17" s="67" t="s">
        <v>2</v>
      </c>
      <c r="Q17" s="61" t="s">
        <v>3</v>
      </c>
      <c r="R17" s="68" t="s">
        <v>4</v>
      </c>
      <c r="S17" s="68" t="s">
        <v>58</v>
      </c>
    </row>
    <row r="18" spans="4:19" x14ac:dyDescent="0.2">
      <c r="D18" s="69" t="s">
        <v>7</v>
      </c>
      <c r="E18" s="69" t="s">
        <v>7</v>
      </c>
      <c r="F18" s="69" t="s">
        <v>7</v>
      </c>
      <c r="G18" s="69" t="s">
        <v>7</v>
      </c>
      <c r="H18" s="69" t="s">
        <v>7</v>
      </c>
      <c r="I18" s="69" t="s">
        <v>7</v>
      </c>
      <c r="J18" s="69" t="s">
        <v>7</v>
      </c>
      <c r="K18" s="69" t="s">
        <v>7</v>
      </c>
      <c r="L18" s="69" t="s">
        <v>7</v>
      </c>
      <c r="M18" s="69" t="s">
        <v>7</v>
      </c>
      <c r="N18" s="69" t="s">
        <v>7</v>
      </c>
      <c r="O18" s="69" t="s">
        <v>7</v>
      </c>
      <c r="P18" s="69" t="s">
        <v>7</v>
      </c>
      <c r="Q18" s="69" t="s">
        <v>7</v>
      </c>
      <c r="R18" s="70" t="s">
        <v>8</v>
      </c>
      <c r="S18" s="70" t="s">
        <v>109</v>
      </c>
    </row>
    <row r="19" spans="4:19" ht="32" x14ac:dyDescent="0.2">
      <c r="D19" s="64" t="s">
        <v>13</v>
      </c>
      <c r="E19" s="64" t="s">
        <v>14</v>
      </c>
      <c r="F19" s="64" t="s">
        <v>15</v>
      </c>
      <c r="G19" s="64" t="s">
        <v>16</v>
      </c>
      <c r="H19" s="64" t="s">
        <v>17</v>
      </c>
      <c r="I19" s="64" t="s">
        <v>18</v>
      </c>
      <c r="J19" s="64" t="s">
        <v>19</v>
      </c>
      <c r="K19" s="64" t="s">
        <v>20</v>
      </c>
      <c r="L19" s="64" t="s">
        <v>21</v>
      </c>
      <c r="M19" s="64" t="s">
        <v>22</v>
      </c>
      <c r="N19" s="64" t="s">
        <v>23</v>
      </c>
      <c r="O19" s="64" t="s">
        <v>93</v>
      </c>
      <c r="P19" s="64" t="s">
        <v>24</v>
      </c>
      <c r="Q19" s="64" t="s">
        <v>3</v>
      </c>
      <c r="R19" s="64" t="s">
        <v>94</v>
      </c>
      <c r="S19" s="64" t="s">
        <v>110</v>
      </c>
    </row>
    <row r="20" spans="4:19" x14ac:dyDescent="0.2">
      <c r="D20" s="7">
        <f>D3*D12/1000</f>
        <v>46144</v>
      </c>
      <c r="E20" s="7">
        <f>E3*E12/1000</f>
        <v>18848</v>
      </c>
      <c r="F20" s="7">
        <f>F3*F12/1000</f>
        <v>20169</v>
      </c>
      <c r="G20" s="7">
        <f>G3*G12/1000</f>
        <v>42010.332000000002</v>
      </c>
      <c r="H20" s="7">
        <f>H3*H12/1000</f>
        <v>14405.58</v>
      </c>
      <c r="I20" s="7">
        <f t="shared" ref="I20" si="0">I3*I12/1000</f>
        <v>0</v>
      </c>
      <c r="J20" s="7">
        <f>D3/1000*J12*$S$2*$S$3</f>
        <v>115.3152</v>
      </c>
      <c r="K20" s="7">
        <f>E3/1000*K12*$S$2*$S$3</f>
        <v>547.74720000000013</v>
      </c>
      <c r="L20" s="7">
        <f>F3/1000*L12*$S$2*$S$3</f>
        <v>875.6748</v>
      </c>
      <c r="M20" s="7">
        <f>G3/1000*M12*$S$2*$S$3</f>
        <v>1802.2432428000002</v>
      </c>
      <c r="N20" s="7">
        <f>H3/1000*N12*$S$2*$S$3</f>
        <v>1153.5988464</v>
      </c>
      <c r="O20" s="7">
        <f t="shared" ref="O20" si="1">I3/1000*O12</f>
        <v>0</v>
      </c>
      <c r="P20" s="7">
        <f>$J3*P12/1000</f>
        <v>0</v>
      </c>
      <c r="Q20" s="7">
        <f>$J3*Q12/1000</f>
        <v>0</v>
      </c>
      <c r="R20" s="8">
        <f>SUM(D20:Q20)+C12</f>
        <v>146071.49128920003</v>
      </c>
      <c r="S20" s="8">
        <f>IF(B3="BTINF",C12*1.055+SUM(D20:Q20)*1.2,(C12+SUM(D20:Q20)*1.2))</f>
        <v>175285.78954704004</v>
      </c>
    </row>
    <row r="21" spans="4:19" x14ac:dyDescent="0.2">
      <c r="G21"/>
    </row>
    <row r="22" spans="4:19" x14ac:dyDescent="0.2">
      <c r="G22"/>
    </row>
  </sheetData>
  <sheetProtection algorithmName="SHA-512" hashValue="7R26YlJghoFB56GISMH+7cWC83a0H/lLVai+Hto/f4w4tj9kjaLliBh2D5zR74Ucz51jIYep60WIiMRHsT1H6w==" saltValue="DF9qvUxupfzsqWUp8KbIqw==" spinCount="100000" sheet="1" objects="1" scenarios="1"/>
  <mergeCells count="3">
    <mergeCell ref="B1:F1"/>
    <mergeCell ref="A15:E15"/>
    <mergeCell ref="A7:E7"/>
  </mergeCells>
  <pageMargins left="0.7" right="0.7" top="0.75" bottom="0.75" header="0.3" footer="0.3"/>
  <pageSetup paperSize="9" scale="17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80"/>
  <sheetViews>
    <sheetView zoomScale="75" zoomScaleNormal="75" workbookViewId="0">
      <selection activeCell="M28" sqref="M28"/>
    </sheetView>
  </sheetViews>
  <sheetFormatPr baseColWidth="10" defaultRowHeight="16" x14ac:dyDescent="0.2"/>
  <cols>
    <col min="1" max="1" width="47.1640625" customWidth="1"/>
    <col min="2" max="3" width="17" customWidth="1"/>
    <col min="5" max="5" width="17" customWidth="1"/>
    <col min="6" max="6" width="17.33203125" customWidth="1"/>
    <col min="7" max="8" width="11" bestFit="1" customWidth="1"/>
    <col min="9" max="9" width="12.83203125" customWidth="1"/>
    <col min="10" max="10" width="17" customWidth="1"/>
    <col min="11" max="11" width="11.1640625" bestFit="1" customWidth="1"/>
    <col min="13" max="13" width="20.5" customWidth="1"/>
  </cols>
  <sheetData>
    <row r="2" spans="1:18" x14ac:dyDescent="0.2">
      <c r="A2" s="4"/>
      <c r="B2" s="33" t="s">
        <v>9</v>
      </c>
      <c r="C2" s="32" t="s">
        <v>31</v>
      </c>
      <c r="D2" s="32" t="s">
        <v>32</v>
      </c>
      <c r="E2" s="32" t="s">
        <v>33</v>
      </c>
      <c r="F2" s="32" t="s">
        <v>34</v>
      </c>
      <c r="G2" s="32" t="s">
        <v>35</v>
      </c>
      <c r="I2" s="32" t="s">
        <v>81</v>
      </c>
    </row>
    <row r="3" spans="1:18" x14ac:dyDescent="0.2">
      <c r="A3" s="34" t="s">
        <v>61</v>
      </c>
      <c r="B3" s="9" t="str">
        <f>'Fichier E et S'!E8</f>
        <v>LUPM</v>
      </c>
      <c r="C3" s="9">
        <f>'Fichier E et S'!B12</f>
        <v>550</v>
      </c>
      <c r="D3" s="9">
        <f>'Fichier E et S'!C12</f>
        <v>550</v>
      </c>
      <c r="E3" s="9">
        <f>'Fichier E et S'!D12</f>
        <v>550</v>
      </c>
      <c r="F3" s="9">
        <f>'Fichier E et S'!E12</f>
        <v>550</v>
      </c>
      <c r="G3" s="9">
        <f>'Fichier E et S'!F12</f>
        <v>550</v>
      </c>
      <c r="I3" s="9" t="str">
        <f>'Fichier E et S'!B19</f>
        <v>Unique</v>
      </c>
    </row>
    <row r="4" spans="1:18" x14ac:dyDescent="0.2">
      <c r="A4" s="34" t="s">
        <v>36</v>
      </c>
      <c r="B4" s="35"/>
      <c r="C4" s="9">
        <f>'Fichier E et S'!B16</f>
        <v>32000</v>
      </c>
      <c r="D4" s="9">
        <f>'Fichier E et S'!C16</f>
        <v>152000</v>
      </c>
      <c r="E4" s="9">
        <f>'Fichier E et S'!D16</f>
        <v>243000</v>
      </c>
      <c r="F4" s="9">
        <f>'Fichier E et S'!E16</f>
        <v>500123</v>
      </c>
      <c r="G4" s="9">
        <f>'Fichier E et S'!F16</f>
        <v>320124</v>
      </c>
      <c r="I4" s="4"/>
    </row>
    <row r="5" spans="1:18" x14ac:dyDescent="0.2">
      <c r="A5" s="4"/>
      <c r="B5" s="4"/>
      <c r="C5" s="4"/>
      <c r="D5" s="4"/>
      <c r="E5" s="4"/>
      <c r="F5" s="4"/>
      <c r="G5" s="4"/>
      <c r="I5" s="4"/>
    </row>
    <row r="6" spans="1:18" x14ac:dyDescent="0.2">
      <c r="B6" s="24"/>
      <c r="C6" s="24"/>
      <c r="D6" s="24"/>
      <c r="E6" s="24"/>
      <c r="F6" s="24"/>
      <c r="G6" s="24"/>
      <c r="H6" s="24"/>
    </row>
    <row r="7" spans="1:18" x14ac:dyDescent="0.2">
      <c r="A7" s="19" t="s">
        <v>82</v>
      </c>
      <c r="B7" s="24"/>
      <c r="C7" s="20">
        <f>IF(I3="CARD",N10,N11)</f>
        <v>418.68</v>
      </c>
      <c r="D7" s="24"/>
      <c r="E7" s="24"/>
      <c r="F7" s="24"/>
      <c r="G7" s="24"/>
      <c r="H7" s="24"/>
    </row>
    <row r="8" spans="1:18" x14ac:dyDescent="0.2">
      <c r="A8" s="24"/>
      <c r="B8" s="24"/>
      <c r="C8" s="24"/>
      <c r="D8" s="24"/>
      <c r="E8" s="24"/>
      <c r="F8" s="24"/>
      <c r="G8" s="24"/>
      <c r="H8" s="24"/>
      <c r="K8" s="42"/>
      <c r="L8" s="43"/>
      <c r="M8" s="43"/>
      <c r="N8" s="43"/>
      <c r="O8" s="43"/>
      <c r="P8" s="43"/>
      <c r="Q8" s="43"/>
      <c r="R8" s="44"/>
    </row>
    <row r="9" spans="1:18" x14ac:dyDescent="0.2">
      <c r="B9" s="24"/>
      <c r="C9" s="24"/>
      <c r="D9" s="24"/>
      <c r="E9" s="24"/>
      <c r="F9" s="24"/>
      <c r="G9" s="24"/>
      <c r="H9" s="24"/>
      <c r="K9" s="36"/>
      <c r="R9" s="18"/>
    </row>
    <row r="10" spans="1:18" x14ac:dyDescent="0.2">
      <c r="A10" s="19" t="s">
        <v>52</v>
      </c>
      <c r="B10" s="24"/>
      <c r="C10" s="20">
        <v>356.28</v>
      </c>
      <c r="D10" s="24"/>
      <c r="E10" s="24"/>
      <c r="F10" s="24"/>
      <c r="G10" s="24"/>
      <c r="H10" s="24"/>
      <c r="K10" s="36"/>
      <c r="L10" s="164" t="s">
        <v>50</v>
      </c>
      <c r="M10" s="164"/>
      <c r="N10" s="22">
        <v>481.68</v>
      </c>
      <c r="R10" s="18"/>
    </row>
    <row r="11" spans="1:18" x14ac:dyDescent="0.2">
      <c r="B11" s="24"/>
      <c r="C11" s="24"/>
      <c r="D11" s="24"/>
      <c r="E11" s="24"/>
      <c r="F11" s="24"/>
      <c r="G11" s="24"/>
      <c r="H11" s="24"/>
      <c r="K11" s="36"/>
      <c r="L11" s="164" t="s">
        <v>51</v>
      </c>
      <c r="M11" s="164"/>
      <c r="N11" s="22">
        <v>418.68</v>
      </c>
      <c r="R11" s="18"/>
    </row>
    <row r="12" spans="1:18" x14ac:dyDescent="0.2">
      <c r="B12" s="24"/>
      <c r="C12" s="24"/>
      <c r="D12" s="24"/>
      <c r="E12" s="24"/>
      <c r="F12" s="24"/>
      <c r="G12" s="24"/>
      <c r="H12" s="24"/>
      <c r="K12" s="36"/>
      <c r="R12" s="18"/>
    </row>
    <row r="13" spans="1:18" x14ac:dyDescent="0.2">
      <c r="A13" s="19" t="s">
        <v>38</v>
      </c>
      <c r="B13" s="24"/>
      <c r="C13" s="20">
        <f>B21+B30</f>
        <v>32258.507099999999</v>
      </c>
      <c r="D13" s="24" t="s">
        <v>83</v>
      </c>
      <c r="E13" s="24"/>
      <c r="F13" s="24"/>
      <c r="G13" s="24"/>
      <c r="H13" s="24"/>
      <c r="K13" s="36"/>
      <c r="R13" s="18"/>
    </row>
    <row r="14" spans="1:18" x14ac:dyDescent="0.2">
      <c r="E14" s="24"/>
      <c r="F14" s="24"/>
      <c r="G14" s="24"/>
      <c r="H14" s="24"/>
      <c r="K14" s="37"/>
      <c r="L14" s="165" t="s">
        <v>37</v>
      </c>
      <c r="M14" s="165"/>
      <c r="N14" s="165"/>
      <c r="O14" s="165"/>
      <c r="P14" s="165"/>
      <c r="Q14" s="165"/>
      <c r="R14" s="18"/>
    </row>
    <row r="15" spans="1:18" x14ac:dyDescent="0.2">
      <c r="A15" s="48" t="s">
        <v>41</v>
      </c>
      <c r="K15" s="37"/>
      <c r="L15" s="19" t="s">
        <v>39</v>
      </c>
      <c r="M15" s="19" t="s">
        <v>26</v>
      </c>
      <c r="N15" s="19" t="s">
        <v>32</v>
      </c>
      <c r="O15" s="19" t="s">
        <v>33</v>
      </c>
      <c r="P15" s="19" t="s">
        <v>34</v>
      </c>
      <c r="Q15" s="19" t="s">
        <v>35</v>
      </c>
      <c r="R15" s="37"/>
    </row>
    <row r="16" spans="1:18" x14ac:dyDescent="0.2">
      <c r="A16" s="3" t="s">
        <v>43</v>
      </c>
      <c r="B16" s="38">
        <f>IF($B$3="CUPF",C$3*M$16,IF($B$3="CUPM",C$3*M$17,IF($B$3="LUPF",C$3*M$18,IF($B$3="LUPM",C$3*M$19))))</f>
        <v>19134.5</v>
      </c>
      <c r="K16" s="37"/>
      <c r="L16" s="6" t="s">
        <v>84</v>
      </c>
      <c r="M16" s="6">
        <v>13.12</v>
      </c>
      <c r="N16" s="6">
        <v>13.12</v>
      </c>
      <c r="O16" s="6">
        <v>13.12</v>
      </c>
      <c r="P16" s="6">
        <v>13.12</v>
      </c>
      <c r="Q16" s="6">
        <v>13.12</v>
      </c>
      <c r="R16" s="37"/>
    </row>
    <row r="17" spans="1:19" x14ac:dyDescent="0.2">
      <c r="A17" s="3" t="s">
        <v>44</v>
      </c>
      <c r="B17" s="38">
        <f>IF($B$3="CUPF",(D3-C3)*N$16,IF($B$3="CUPM",(D3-C3)*N$17,IF($B$3="LUPF",(D3-C3)*N$18,IF($B$3="LUPM",(D3-C3)*N$19))))</f>
        <v>0</v>
      </c>
      <c r="K17" s="37"/>
      <c r="L17" s="6" t="s">
        <v>85</v>
      </c>
      <c r="M17" s="6">
        <v>13.12</v>
      </c>
      <c r="N17" s="6">
        <v>13.12</v>
      </c>
      <c r="O17" s="6">
        <v>13.12</v>
      </c>
      <c r="P17" s="6">
        <v>13.12</v>
      </c>
      <c r="Q17" s="6">
        <v>13.12</v>
      </c>
      <c r="R17" s="37"/>
    </row>
    <row r="18" spans="1:19" x14ac:dyDescent="0.2">
      <c r="A18" s="3" t="s">
        <v>46</v>
      </c>
      <c r="B18" s="38">
        <f>IF($B$3="CUPF",(E3-D3)*O$16,IF($B$3="CUPM",(E3-D3)*O$17,IF($B$3="LUPF",(E3-D3)*O$18,IF($B$3="LUPM",(E3-D3)*O$19))))</f>
        <v>0</v>
      </c>
      <c r="K18" s="36"/>
      <c r="L18" s="6" t="s">
        <v>86</v>
      </c>
      <c r="M18" s="6">
        <v>32.01</v>
      </c>
      <c r="N18" s="6">
        <v>28.89</v>
      </c>
      <c r="O18" s="6">
        <v>17.28</v>
      </c>
      <c r="P18" s="6">
        <v>14.1</v>
      </c>
      <c r="Q18" s="6">
        <v>13.17</v>
      </c>
      <c r="R18" s="37"/>
    </row>
    <row r="19" spans="1:19" x14ac:dyDescent="0.2">
      <c r="A19" s="3" t="s">
        <v>48</v>
      </c>
      <c r="B19" s="38">
        <f>IF($B$3="CUPF",(F3-E3)*P$16,IF($B$3="CUPM",(F3-E3)*P$17,IF($B$3="LUPF",(F3-E3)*P$18,IF($B$3="LUPM",(F3-E3)*P$19))))</f>
        <v>0</v>
      </c>
      <c r="K19" s="36"/>
      <c r="L19" s="6" t="s">
        <v>87</v>
      </c>
      <c r="M19" s="6">
        <v>34.79</v>
      </c>
      <c r="N19" s="6">
        <v>30.78</v>
      </c>
      <c r="O19" s="6">
        <v>17.28</v>
      </c>
      <c r="P19" s="6">
        <v>14.1</v>
      </c>
      <c r="Q19" s="6">
        <v>13.7</v>
      </c>
      <c r="R19" s="37"/>
    </row>
    <row r="20" spans="1:19" x14ac:dyDescent="0.2">
      <c r="A20" s="3" t="s">
        <v>88</v>
      </c>
      <c r="B20" s="38">
        <f>IF($B$3="CUPF",(G3-F3)*Q$16,IF($B$3="CUPM",(G3-F3)*Q$17,IF($B$3="LUPF",(G3-F3)*Q$18,IF($B$3="LUPM",(G3-F3)*Q$19))))</f>
        <v>0</v>
      </c>
      <c r="K20" s="36"/>
      <c r="S20" s="36"/>
    </row>
    <row r="21" spans="1:19" x14ac:dyDescent="0.2">
      <c r="A21" s="3" t="s">
        <v>29</v>
      </c>
      <c r="B21" s="39">
        <f>SUM(B16:B20)</f>
        <v>19134.5</v>
      </c>
      <c r="K21" s="36"/>
      <c r="S21" s="36"/>
    </row>
    <row r="22" spans="1:19" x14ac:dyDescent="0.2">
      <c r="A22" s="23"/>
      <c r="B22" s="23"/>
      <c r="K22" s="37"/>
      <c r="L22" s="165" t="s">
        <v>45</v>
      </c>
      <c r="M22" s="165"/>
      <c r="N22" s="165"/>
      <c r="O22" s="165"/>
      <c r="P22" s="165"/>
      <c r="Q22" s="165"/>
      <c r="S22" s="36"/>
    </row>
    <row r="23" spans="1:19" x14ac:dyDescent="0.2">
      <c r="K23" s="37"/>
      <c r="L23" s="19" t="s">
        <v>47</v>
      </c>
      <c r="M23" s="19" t="s">
        <v>26</v>
      </c>
      <c r="N23" s="19" t="s">
        <v>32</v>
      </c>
      <c r="O23" s="19" t="s">
        <v>33</v>
      </c>
      <c r="P23" s="19" t="s">
        <v>34</v>
      </c>
      <c r="Q23" s="19" t="s">
        <v>35</v>
      </c>
      <c r="R23" s="37"/>
    </row>
    <row r="24" spans="1:19" x14ac:dyDescent="0.2">
      <c r="A24" s="48" t="s">
        <v>49</v>
      </c>
      <c r="K24" s="36"/>
      <c r="L24" s="6" t="s">
        <v>84</v>
      </c>
      <c r="M24" s="6">
        <v>6.28</v>
      </c>
      <c r="N24" s="6">
        <v>4.5</v>
      </c>
      <c r="O24" s="6">
        <v>2.63</v>
      </c>
      <c r="P24" s="6">
        <v>0.76</v>
      </c>
      <c r="Q24" s="6">
        <v>0.5</v>
      </c>
      <c r="R24" s="37"/>
    </row>
    <row r="25" spans="1:19" x14ac:dyDescent="0.2">
      <c r="A25" s="9" t="s">
        <v>43</v>
      </c>
      <c r="B25" s="38">
        <f>IF($B$3="CUPF",C$4*M24/100,IF($B$3="CUPM",C$4*M25/100,IF($B$3="LUPF",C$4*M26/100,IF($B$3="LUPM",C$4*M27/100))))</f>
        <v>1088</v>
      </c>
      <c r="K25" s="36"/>
      <c r="L25" s="6" t="s">
        <v>85</v>
      </c>
      <c r="M25" s="6">
        <v>7.48</v>
      </c>
      <c r="N25" s="6">
        <v>4.33</v>
      </c>
      <c r="O25" s="6">
        <v>2.63</v>
      </c>
      <c r="P25" s="6">
        <v>0.76</v>
      </c>
      <c r="Q25" s="6">
        <v>0.5</v>
      </c>
      <c r="R25" s="37"/>
    </row>
    <row r="26" spans="1:19" x14ac:dyDescent="0.2">
      <c r="A26" s="9" t="s">
        <v>44</v>
      </c>
      <c r="B26" s="8">
        <f>IF($B$3="CUPF",D4*N24/100,IF($B$3="CUPM",D4*N25/100,IF($B$3="LUPF",D4*N26/100,IF($B$3="LUPM",D4*N27/100))))</f>
        <v>3085.5999999999995</v>
      </c>
      <c r="K26" s="36"/>
      <c r="L26" s="6" t="s">
        <v>86</v>
      </c>
      <c r="M26" s="6">
        <v>2.93</v>
      </c>
      <c r="N26" s="6">
        <v>2.2400000000000002</v>
      </c>
      <c r="O26" s="6">
        <v>1.7</v>
      </c>
      <c r="P26" s="6">
        <v>0.65</v>
      </c>
      <c r="Q26" s="6">
        <v>0.49</v>
      </c>
      <c r="R26" s="37"/>
    </row>
    <row r="27" spans="1:19" x14ac:dyDescent="0.2">
      <c r="A27" s="9" t="s">
        <v>46</v>
      </c>
      <c r="B27" s="21">
        <f>IF($B$3="CUPF",E4*O24/100,IF($B$3="CUPM",E4*O25/100,IF($B$3="LUPF",E4*O26/100,IF($B$3="LUPM",E4*O27/100))))</f>
        <v>4131</v>
      </c>
      <c r="K27" s="36"/>
      <c r="L27" s="6" t="s">
        <v>87</v>
      </c>
      <c r="M27" s="6">
        <v>3.4</v>
      </c>
      <c r="N27" s="6">
        <v>2.0299999999999998</v>
      </c>
      <c r="O27" s="6">
        <v>1.7</v>
      </c>
      <c r="P27" s="6">
        <v>0.65</v>
      </c>
      <c r="Q27" s="6">
        <v>0.49</v>
      </c>
      <c r="R27" s="37"/>
    </row>
    <row r="28" spans="1:19" x14ac:dyDescent="0.2">
      <c r="A28" s="9" t="s">
        <v>48</v>
      </c>
      <c r="B28" s="8">
        <f>IF($B$3="CUPF",F4*P24/100,IF($B$3="CUPM",F4*P25/100,IF($B$3="LUPF",F4*P26/100,IF($B$3="LUPM",F4*P27/100))))</f>
        <v>3250.7995000000001</v>
      </c>
      <c r="K28" s="36"/>
      <c r="R28" s="18"/>
    </row>
    <row r="29" spans="1:19" x14ac:dyDescent="0.2">
      <c r="A29" s="9" t="s">
        <v>88</v>
      </c>
      <c r="B29" s="8">
        <f>IF($B$3="CUPF",G4*Q24/100,IF($B$3="CUPM",G4*Q25/100,IF($B$3="LUPF",G4*Q26/100,IF($B$3="LUPM",G4*Q27/100))))</f>
        <v>1568.6076</v>
      </c>
      <c r="K29" s="45"/>
      <c r="L29" s="46"/>
      <c r="M29" s="46"/>
      <c r="N29" s="46"/>
      <c r="O29" s="46"/>
      <c r="P29" s="46"/>
      <c r="Q29" s="46"/>
      <c r="R29" s="47"/>
    </row>
    <row r="30" spans="1:19" ht="16" customHeight="1" x14ac:dyDescent="0.2">
      <c r="A30" s="3" t="s">
        <v>29</v>
      </c>
      <c r="B30" s="20">
        <f>SUM(B25:B29)</f>
        <v>13124.007099999999</v>
      </c>
    </row>
    <row r="33" spans="1:8" x14ac:dyDescent="0.2">
      <c r="A33" s="19" t="s">
        <v>54</v>
      </c>
    </row>
    <row r="35" spans="1:8" x14ac:dyDescent="0.2">
      <c r="A35" s="6" t="s">
        <v>53</v>
      </c>
      <c r="C35" s="20">
        <f>(C7+C10+B21)*0.2193</f>
        <v>4366.1445779999995</v>
      </c>
    </row>
    <row r="38" spans="1:8" x14ac:dyDescent="0.2">
      <c r="A38" s="19" t="s">
        <v>55</v>
      </c>
    </row>
    <row r="40" spans="1:8" x14ac:dyDescent="0.2">
      <c r="A40" s="6" t="s">
        <v>56</v>
      </c>
      <c r="C40" s="20">
        <f>C48-C45</f>
        <v>6606.693419999996</v>
      </c>
    </row>
    <row r="43" spans="1:8" x14ac:dyDescent="0.2">
      <c r="A43" s="40" t="s">
        <v>29</v>
      </c>
      <c r="B43" s="24"/>
      <c r="C43" s="24"/>
      <c r="D43" s="24"/>
      <c r="E43" s="24"/>
      <c r="F43" s="24"/>
      <c r="G43" s="24"/>
      <c r="H43" s="24"/>
    </row>
    <row r="45" spans="1:8" x14ac:dyDescent="0.2">
      <c r="A45" s="6" t="s">
        <v>57</v>
      </c>
      <c r="C45" s="41">
        <f>C7+C10+C13</f>
        <v>33033.467100000002</v>
      </c>
    </row>
    <row r="48" spans="1:8" x14ac:dyDescent="0.2">
      <c r="A48" s="6" t="s">
        <v>58</v>
      </c>
      <c r="C48" s="41">
        <f>C45*1.2</f>
        <v>39640.160519999998</v>
      </c>
    </row>
    <row r="78" spans="5:11" x14ac:dyDescent="0.2">
      <c r="J78" s="17"/>
      <c r="K78" s="17"/>
    </row>
    <row r="79" spans="5:11" x14ac:dyDescent="0.2">
      <c r="E79" s="16"/>
      <c r="F79" s="17"/>
      <c r="J79" s="17"/>
    </row>
    <row r="80" spans="5:11" x14ac:dyDescent="0.2">
      <c r="J80" s="17"/>
    </row>
  </sheetData>
  <sheetProtection algorithmName="SHA-512" hashValue="+uWv0kG9sEqn7u1MkUPJtiwP6wIZ/t5z64sN7bmdtYvI2hvBwmxNbSM0Dw3E+7kC3a9IOAvuUznwkKjATXhVlw==" saltValue="FElyjTepM/0YMLjuJ4H3XQ==" spinCount="100000" sheet="1" objects="1" scenarios="1"/>
  <mergeCells count="4">
    <mergeCell ref="L10:M10"/>
    <mergeCell ref="L11:M11"/>
    <mergeCell ref="L14:Q14"/>
    <mergeCell ref="L22:Q22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80"/>
  <sheetViews>
    <sheetView zoomScale="75" zoomScaleNormal="81" workbookViewId="0">
      <selection activeCell="M24" sqref="M24"/>
    </sheetView>
  </sheetViews>
  <sheetFormatPr baseColWidth="10" defaultRowHeight="16" x14ac:dyDescent="0.2"/>
  <cols>
    <col min="1" max="1" width="47.1640625" customWidth="1"/>
    <col min="2" max="2" width="17" customWidth="1"/>
    <col min="3" max="3" width="13.6640625" customWidth="1"/>
    <col min="5" max="5" width="11" bestFit="1" customWidth="1"/>
    <col min="6" max="6" width="17.33203125" customWidth="1"/>
    <col min="7" max="8" width="11" bestFit="1" customWidth="1"/>
    <col min="9" max="9" width="12.83203125" customWidth="1"/>
    <col min="10" max="10" width="17" customWidth="1"/>
    <col min="11" max="11" width="11.1640625" bestFit="1" customWidth="1"/>
    <col min="13" max="13" width="24.33203125" customWidth="1"/>
  </cols>
  <sheetData>
    <row r="2" spans="1:17" x14ac:dyDescent="0.2">
      <c r="A2" s="4"/>
      <c r="B2" s="33" t="s">
        <v>9</v>
      </c>
      <c r="C2" s="32" t="s">
        <v>31</v>
      </c>
      <c r="D2" s="32" t="s">
        <v>32</v>
      </c>
      <c r="E2" s="32" t="s">
        <v>33</v>
      </c>
      <c r="F2" s="32" t="s">
        <v>34</v>
      </c>
      <c r="G2" s="32" t="s">
        <v>35</v>
      </c>
      <c r="I2" s="32" t="s">
        <v>81</v>
      </c>
    </row>
    <row r="3" spans="1:17" x14ac:dyDescent="0.2">
      <c r="A3" s="34" t="s">
        <v>61</v>
      </c>
      <c r="B3" s="9" t="str">
        <f>'Fichier E et S'!E8</f>
        <v>LUPM</v>
      </c>
      <c r="C3" s="35"/>
      <c r="D3" s="9">
        <f>'Fichier E et S'!C12</f>
        <v>550</v>
      </c>
      <c r="E3" s="9">
        <f>'Fichier E et S'!D12</f>
        <v>550</v>
      </c>
      <c r="F3" s="9">
        <f>'Fichier E et S'!E12</f>
        <v>550</v>
      </c>
      <c r="G3" s="9">
        <f>'Fichier E et S'!F12</f>
        <v>550</v>
      </c>
      <c r="I3" s="9" t="str">
        <f>'Fichier E et S'!B19</f>
        <v>Unique</v>
      </c>
    </row>
    <row r="4" spans="1:17" x14ac:dyDescent="0.2">
      <c r="A4" s="34" t="s">
        <v>36</v>
      </c>
      <c r="B4" s="35"/>
      <c r="C4" s="35"/>
      <c r="D4" s="9">
        <f>'Fichier E et S'!C16</f>
        <v>152000</v>
      </c>
      <c r="E4" s="9">
        <f>'Fichier E et S'!D16</f>
        <v>243000</v>
      </c>
      <c r="F4" s="9">
        <f>'Fichier E et S'!E16</f>
        <v>500123</v>
      </c>
      <c r="G4" s="9">
        <f>'Fichier E et S'!F16</f>
        <v>320124</v>
      </c>
      <c r="I4" s="4"/>
    </row>
    <row r="5" spans="1:17" x14ac:dyDescent="0.2">
      <c r="A5" s="4"/>
      <c r="B5" s="4"/>
      <c r="C5" s="4"/>
      <c r="D5" s="4"/>
      <c r="E5" s="4"/>
      <c r="F5" s="4"/>
      <c r="G5" s="4"/>
      <c r="I5" s="4"/>
    </row>
    <row r="6" spans="1:17" x14ac:dyDescent="0.2">
      <c r="B6" s="24"/>
      <c r="C6" s="24"/>
      <c r="D6" s="24"/>
      <c r="E6" s="24"/>
      <c r="F6" s="24"/>
      <c r="G6" s="24"/>
      <c r="H6" s="24"/>
    </row>
    <row r="7" spans="1:17" x14ac:dyDescent="0.2">
      <c r="A7" s="19" t="s">
        <v>82</v>
      </c>
      <c r="B7" s="24"/>
      <c r="C7" s="20">
        <f>IF(I3="CARD",N10,N11)</f>
        <v>209.4</v>
      </c>
      <c r="D7" s="24"/>
      <c r="E7" s="24"/>
      <c r="F7" s="24"/>
      <c r="G7" s="24"/>
      <c r="H7" s="24"/>
    </row>
    <row r="8" spans="1:17" x14ac:dyDescent="0.2">
      <c r="A8" s="24"/>
      <c r="B8" s="24"/>
      <c r="C8" s="24"/>
      <c r="D8" s="24"/>
      <c r="E8" s="24"/>
      <c r="F8" s="24"/>
      <c r="G8" s="24"/>
      <c r="H8" s="24"/>
      <c r="K8" s="42"/>
      <c r="L8" s="43"/>
      <c r="M8" s="43"/>
      <c r="N8" s="43"/>
      <c r="O8" s="43"/>
      <c r="P8" s="43"/>
      <c r="Q8" s="44"/>
    </row>
    <row r="9" spans="1:17" x14ac:dyDescent="0.2">
      <c r="B9" s="24"/>
      <c r="C9" s="24"/>
      <c r="D9" s="24"/>
      <c r="E9" s="24"/>
      <c r="F9" s="24"/>
      <c r="G9" s="24"/>
      <c r="H9" s="24"/>
      <c r="K9" s="36"/>
      <c r="Q9" s="18"/>
    </row>
    <row r="10" spans="1:17" x14ac:dyDescent="0.2">
      <c r="A10" s="19" t="s">
        <v>52</v>
      </c>
      <c r="B10" s="24"/>
      <c r="C10" s="20">
        <v>268.2</v>
      </c>
      <c r="D10" s="24"/>
      <c r="E10" s="24"/>
      <c r="F10" s="24"/>
      <c r="G10" s="24"/>
      <c r="H10" s="24"/>
      <c r="K10" s="36"/>
      <c r="L10" s="164" t="s">
        <v>50</v>
      </c>
      <c r="M10" s="164"/>
      <c r="N10" s="22">
        <v>240.84</v>
      </c>
      <c r="Q10" s="18"/>
    </row>
    <row r="11" spans="1:17" x14ac:dyDescent="0.2">
      <c r="B11" s="24"/>
      <c r="C11" s="24"/>
      <c r="D11" s="24"/>
      <c r="E11" s="24"/>
      <c r="F11" s="24"/>
      <c r="G11" s="24"/>
      <c r="H11" s="24"/>
      <c r="K11" s="36"/>
      <c r="L11" s="164" t="s">
        <v>51</v>
      </c>
      <c r="M11" s="164"/>
      <c r="N11" s="22">
        <v>209.4</v>
      </c>
      <c r="Q11" s="18"/>
    </row>
    <row r="12" spans="1:17" x14ac:dyDescent="0.2">
      <c r="B12" s="24"/>
      <c r="C12" s="24"/>
      <c r="D12" s="24"/>
      <c r="E12" s="24"/>
      <c r="F12" s="24"/>
      <c r="G12" s="24"/>
      <c r="H12" s="24"/>
      <c r="K12" s="36"/>
      <c r="Q12" s="18"/>
    </row>
    <row r="13" spans="1:17" x14ac:dyDescent="0.2">
      <c r="A13" s="19" t="s">
        <v>38</v>
      </c>
      <c r="B13" s="24"/>
      <c r="C13" s="20">
        <f>B21+B30</f>
        <v>47496.678699999997</v>
      </c>
      <c r="D13" s="24" t="s">
        <v>83</v>
      </c>
      <c r="E13" s="24"/>
      <c r="F13" s="24"/>
      <c r="G13" s="24"/>
      <c r="H13" s="24"/>
      <c r="K13" s="36"/>
      <c r="Q13" s="18"/>
    </row>
    <row r="14" spans="1:17" x14ac:dyDescent="0.2">
      <c r="E14" s="24"/>
      <c r="F14" s="24"/>
      <c r="G14" s="24"/>
      <c r="H14" s="24"/>
      <c r="K14" s="37"/>
      <c r="L14" s="164" t="s">
        <v>37</v>
      </c>
      <c r="M14" s="164"/>
      <c r="N14" s="164"/>
      <c r="O14" s="164"/>
      <c r="P14" s="164"/>
      <c r="Q14" s="18"/>
    </row>
    <row r="15" spans="1:17" x14ac:dyDescent="0.2">
      <c r="A15" s="19" t="s">
        <v>41</v>
      </c>
      <c r="K15" s="37"/>
      <c r="L15" s="19" t="s">
        <v>39</v>
      </c>
      <c r="M15" s="19" t="s">
        <v>32</v>
      </c>
      <c r="N15" s="19" t="s">
        <v>33</v>
      </c>
      <c r="O15" s="19" t="s">
        <v>34</v>
      </c>
      <c r="P15" s="19" t="s">
        <v>35</v>
      </c>
      <c r="Q15" s="18"/>
    </row>
    <row r="16" spans="1:17" x14ac:dyDescent="0.2">
      <c r="K16" s="37"/>
      <c r="L16" s="6" t="s">
        <v>40</v>
      </c>
      <c r="M16" s="6">
        <v>16.440000000000001</v>
      </c>
      <c r="N16" s="6">
        <v>13.7</v>
      </c>
      <c r="O16" s="6">
        <v>13.28</v>
      </c>
      <c r="P16" s="6">
        <v>12.92</v>
      </c>
      <c r="Q16" s="18"/>
    </row>
    <row r="17" spans="1:17" x14ac:dyDescent="0.2">
      <c r="A17" s="3" t="s">
        <v>43</v>
      </c>
      <c r="B17" s="38">
        <f>IF(B3="CU",D3*M16,D3*M17)</f>
        <v>14767.5</v>
      </c>
      <c r="K17" s="37"/>
      <c r="L17" s="6" t="s">
        <v>42</v>
      </c>
      <c r="M17" s="6">
        <v>26.85</v>
      </c>
      <c r="N17" s="6">
        <v>17.16</v>
      </c>
      <c r="O17" s="6">
        <v>15.14</v>
      </c>
      <c r="P17" s="6">
        <v>13.6</v>
      </c>
      <c r="Q17" s="18"/>
    </row>
    <row r="18" spans="1:17" x14ac:dyDescent="0.2">
      <c r="A18" s="3" t="s">
        <v>44</v>
      </c>
      <c r="B18" s="38">
        <f>IF(B3="CU",(E3-D3)*N16,(E3-D3)*N17)</f>
        <v>0</v>
      </c>
      <c r="K18" s="36"/>
      <c r="Q18" s="18"/>
    </row>
    <row r="19" spans="1:17" x14ac:dyDescent="0.2">
      <c r="A19" s="3" t="s">
        <v>46</v>
      </c>
      <c r="B19" s="38">
        <f>IF(B4="CU",(F3-E3)*O16,(F3-E3)*O17)</f>
        <v>0</v>
      </c>
      <c r="K19" s="36"/>
      <c r="Q19" s="18"/>
    </row>
    <row r="20" spans="1:17" x14ac:dyDescent="0.2">
      <c r="A20" s="3" t="s">
        <v>48</v>
      </c>
      <c r="B20" s="38">
        <f>IF(B4="CU",(G3-F3)*P16,(G3-F3)*P17)</f>
        <v>0</v>
      </c>
      <c r="K20" s="37"/>
      <c r="L20" s="164" t="s">
        <v>45</v>
      </c>
      <c r="M20" s="164"/>
      <c r="N20" s="164"/>
      <c r="O20" s="164"/>
      <c r="P20" s="164"/>
      <c r="Q20" s="18"/>
    </row>
    <row r="21" spans="1:17" x14ac:dyDescent="0.2">
      <c r="A21" s="3" t="s">
        <v>29</v>
      </c>
      <c r="B21" s="39">
        <f>SUM(B17:B20)</f>
        <v>14767.5</v>
      </c>
      <c r="K21" s="37"/>
      <c r="L21" s="19" t="s">
        <v>47</v>
      </c>
      <c r="M21" s="19" t="s">
        <v>32</v>
      </c>
      <c r="N21" s="19" t="s">
        <v>33</v>
      </c>
      <c r="O21" s="19" t="s">
        <v>34</v>
      </c>
      <c r="P21" s="19" t="s">
        <v>35</v>
      </c>
      <c r="Q21" s="18"/>
    </row>
    <row r="22" spans="1:17" x14ac:dyDescent="0.2">
      <c r="A22" s="23"/>
      <c r="B22" s="23"/>
      <c r="K22" s="37"/>
      <c r="L22" s="6" t="s">
        <v>40</v>
      </c>
      <c r="M22" s="6">
        <v>5.91</v>
      </c>
      <c r="N22" s="6">
        <v>4.53</v>
      </c>
      <c r="O22" s="6">
        <v>2.4300000000000002</v>
      </c>
      <c r="P22" s="6">
        <v>1.68</v>
      </c>
      <c r="Q22" s="18"/>
    </row>
    <row r="23" spans="1:17" x14ac:dyDescent="0.2">
      <c r="K23" s="37"/>
      <c r="L23" s="6" t="s">
        <v>42</v>
      </c>
      <c r="M23" s="6">
        <v>4.9400000000000004</v>
      </c>
      <c r="N23" s="6">
        <v>3.93</v>
      </c>
      <c r="O23" s="6">
        <v>2.25</v>
      </c>
      <c r="P23" s="6">
        <v>1.38</v>
      </c>
      <c r="Q23" s="18"/>
    </row>
    <row r="24" spans="1:17" x14ac:dyDescent="0.2">
      <c r="A24" s="19" t="s">
        <v>49</v>
      </c>
      <c r="K24" s="36"/>
      <c r="Q24" s="18"/>
    </row>
    <row r="25" spans="1:17" x14ac:dyDescent="0.2">
      <c r="K25" s="45"/>
      <c r="L25" s="46"/>
      <c r="M25" s="46"/>
      <c r="N25" s="46"/>
      <c r="O25" s="46"/>
      <c r="P25" s="46"/>
      <c r="Q25" s="47"/>
    </row>
    <row r="26" spans="1:17" x14ac:dyDescent="0.2">
      <c r="A26" s="3" t="s">
        <v>43</v>
      </c>
      <c r="B26" s="8">
        <f>IF(B3="CU",(D4+C4)*M22/100,(D4+C4)*M23/100)</f>
        <v>7508.8000000000011</v>
      </c>
    </row>
    <row r="27" spans="1:17" x14ac:dyDescent="0.2">
      <c r="A27" s="3" t="s">
        <v>44</v>
      </c>
      <c r="B27" s="21">
        <f>IF(B3="CU",E4*N22/100,E4*N23/100)</f>
        <v>9549.9</v>
      </c>
    </row>
    <row r="28" spans="1:17" x14ac:dyDescent="0.2">
      <c r="A28" s="3" t="s">
        <v>46</v>
      </c>
      <c r="B28" s="8">
        <f>IF(B3="CU",F4*O22/100,F4*O23/100)</f>
        <v>11252.7675</v>
      </c>
    </row>
    <row r="29" spans="1:17" x14ac:dyDescent="0.2">
      <c r="A29" s="3" t="s">
        <v>48</v>
      </c>
      <c r="B29" s="8">
        <f>IF(B3="CU",G4*P22/100,G4*P23/100)</f>
        <v>4417.7111999999997</v>
      </c>
    </row>
    <row r="30" spans="1:17" ht="16" customHeight="1" x14ac:dyDescent="0.2">
      <c r="A30" s="3" t="s">
        <v>29</v>
      </c>
      <c r="B30" s="20">
        <f>SUM(B26:B29)</f>
        <v>32729.178699999997</v>
      </c>
    </row>
    <row r="33" spans="1:8" x14ac:dyDescent="0.2">
      <c r="A33" s="19" t="s">
        <v>54</v>
      </c>
    </row>
    <row r="35" spans="1:8" x14ac:dyDescent="0.2">
      <c r="A35" s="6" t="s">
        <v>53</v>
      </c>
      <c r="C35" s="20">
        <f>(C7+C10+B21)*0.2193</f>
        <v>3343.2504300000001</v>
      </c>
    </row>
    <row r="38" spans="1:8" x14ac:dyDescent="0.2">
      <c r="A38" s="19" t="s">
        <v>55</v>
      </c>
    </row>
    <row r="40" spans="1:8" x14ac:dyDescent="0.2">
      <c r="A40" s="6" t="s">
        <v>56</v>
      </c>
      <c r="C40" s="20">
        <f>C48-C45</f>
        <v>9594.8557399999991</v>
      </c>
    </row>
    <row r="43" spans="1:8" x14ac:dyDescent="0.2">
      <c r="A43" s="40" t="s">
        <v>29</v>
      </c>
      <c r="B43" s="24"/>
      <c r="C43" s="24"/>
      <c r="D43" s="24"/>
      <c r="E43" s="24"/>
      <c r="F43" s="24"/>
      <c r="G43" s="24"/>
      <c r="H43" s="24"/>
    </row>
    <row r="45" spans="1:8" x14ac:dyDescent="0.2">
      <c r="A45" s="6" t="s">
        <v>57</v>
      </c>
      <c r="C45" s="41">
        <f>C7+C10+C13</f>
        <v>47974.278699999995</v>
      </c>
    </row>
    <row r="48" spans="1:8" x14ac:dyDescent="0.2">
      <c r="A48" s="6" t="s">
        <v>58</v>
      </c>
      <c r="C48" s="41">
        <f>C45*1.2</f>
        <v>57569.134439999994</v>
      </c>
    </row>
    <row r="78" spans="5:11" x14ac:dyDescent="0.2">
      <c r="J78" s="17"/>
      <c r="K78" s="17"/>
    </row>
    <row r="79" spans="5:11" x14ac:dyDescent="0.2">
      <c r="E79" s="16"/>
      <c r="F79" s="17"/>
      <c r="J79" s="17"/>
    </row>
    <row r="80" spans="5:11" x14ac:dyDescent="0.2">
      <c r="J80" s="17"/>
    </row>
  </sheetData>
  <sheetProtection algorithmName="SHA-512" hashValue="yp0t6x0P5vFNJMtWyBwzF+H2z3CR3yhyghXwokhuBP36LDaFFPYkQWOg4P9Pzj2x+IypEHD9UTbhcU/MB5ixhg==" saltValue="/TiBHA/CeVRrJ1NMPHWECQ==" spinCount="100000" sheet="1" objects="1" scenarios="1"/>
  <mergeCells count="4">
    <mergeCell ref="L20:P20"/>
    <mergeCell ref="L10:M10"/>
    <mergeCell ref="L11:M11"/>
    <mergeCell ref="L14:P14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80"/>
  <sheetViews>
    <sheetView zoomScaleNormal="75" workbookViewId="0">
      <selection activeCell="P29" sqref="P29"/>
    </sheetView>
  </sheetViews>
  <sheetFormatPr baseColWidth="10" defaultRowHeight="16" x14ac:dyDescent="0.2"/>
  <cols>
    <col min="1" max="1" width="47.1640625" customWidth="1"/>
    <col min="2" max="2" width="17" customWidth="1"/>
    <col min="3" max="3" width="13.6640625" customWidth="1"/>
    <col min="5" max="5" width="12.83203125" customWidth="1"/>
    <col min="6" max="6" width="16.1640625" customWidth="1"/>
    <col min="7" max="8" width="11" bestFit="1" customWidth="1"/>
    <col min="9" max="9" width="12.83203125" customWidth="1"/>
    <col min="10" max="10" width="17" customWidth="1"/>
    <col min="11" max="11" width="11.1640625" bestFit="1" customWidth="1"/>
    <col min="12" max="12" width="34.5" customWidth="1"/>
    <col min="13" max="13" width="29.33203125" customWidth="1"/>
  </cols>
  <sheetData>
    <row r="2" spans="1:18" x14ac:dyDescent="0.2">
      <c r="A2" s="25"/>
      <c r="B2" s="32" t="s">
        <v>9</v>
      </c>
      <c r="C2" s="49" t="s">
        <v>89</v>
      </c>
      <c r="D2" s="49" t="s">
        <v>32</v>
      </c>
      <c r="E2" s="49" t="s">
        <v>33</v>
      </c>
      <c r="F2" s="49" t="s">
        <v>34</v>
      </c>
      <c r="G2" s="32" t="s">
        <v>35</v>
      </c>
      <c r="H2" s="32" t="s">
        <v>65</v>
      </c>
      <c r="J2" s="32" t="s">
        <v>81</v>
      </c>
    </row>
    <row r="3" spans="1:18" x14ac:dyDescent="0.2">
      <c r="A3" s="32" t="s">
        <v>61</v>
      </c>
      <c r="B3" s="50" t="str">
        <f>'Fichier E et S'!E8</f>
        <v>LUPM</v>
      </c>
      <c r="C3" s="50">
        <f>'Fichier E et S'!G12</f>
        <v>0</v>
      </c>
      <c r="D3" s="52"/>
      <c r="E3" s="52"/>
      <c r="F3" s="52"/>
      <c r="G3" s="77"/>
      <c r="H3" s="6"/>
      <c r="J3" s="9" t="str">
        <f>'Fichier E et S'!B19</f>
        <v>Unique</v>
      </c>
    </row>
    <row r="4" spans="1:18" x14ac:dyDescent="0.2">
      <c r="A4" s="51" t="s">
        <v>36</v>
      </c>
      <c r="B4" s="52"/>
      <c r="C4" s="52"/>
      <c r="D4" s="50">
        <f>'Fichier E et S'!C16</f>
        <v>152000</v>
      </c>
      <c r="E4" s="50">
        <f>'Fichier E et S'!D16</f>
        <v>243000</v>
      </c>
      <c r="F4" s="50">
        <f>'Fichier E et S'!E16</f>
        <v>500123</v>
      </c>
      <c r="G4" s="27">
        <f>'Fichier E et S'!F16</f>
        <v>320124</v>
      </c>
      <c r="H4" s="6">
        <f>'Fichier E et S'!G16</f>
        <v>0</v>
      </c>
      <c r="J4" s="4"/>
    </row>
    <row r="5" spans="1:18" x14ac:dyDescent="0.2">
      <c r="A5" s="24"/>
      <c r="B5" s="24"/>
      <c r="C5" s="24"/>
      <c r="D5" s="24"/>
      <c r="E5" s="24"/>
      <c r="F5" s="24"/>
      <c r="G5" s="24"/>
      <c r="I5" s="4"/>
    </row>
    <row r="6" spans="1:18" x14ac:dyDescent="0.2">
      <c r="B6" s="24"/>
      <c r="C6" s="24"/>
      <c r="D6" s="24"/>
      <c r="E6" s="24"/>
      <c r="F6" s="24"/>
      <c r="G6" s="24"/>
      <c r="H6" s="24"/>
    </row>
    <row r="7" spans="1:18" x14ac:dyDescent="0.2">
      <c r="A7" s="19" t="s">
        <v>82</v>
      </c>
      <c r="B7" s="24"/>
      <c r="C7" s="20">
        <f>IF(J3="CARD",N10,N11)</f>
        <v>16.2</v>
      </c>
      <c r="D7" s="24"/>
      <c r="E7" s="24"/>
      <c r="F7" s="24"/>
      <c r="G7" s="24"/>
      <c r="H7" s="24"/>
    </row>
    <row r="8" spans="1:18" x14ac:dyDescent="0.2">
      <c r="A8" s="24"/>
      <c r="B8" s="24"/>
      <c r="C8" s="24"/>
      <c r="D8" s="24"/>
      <c r="E8" s="24"/>
      <c r="F8" s="24"/>
      <c r="G8" s="24"/>
      <c r="H8" s="24"/>
      <c r="K8" s="42"/>
      <c r="L8" s="43"/>
      <c r="M8" s="43"/>
      <c r="N8" s="43"/>
      <c r="O8" s="43"/>
      <c r="P8" s="43"/>
      <c r="Q8" s="43"/>
      <c r="R8" s="44"/>
    </row>
    <row r="9" spans="1:18" x14ac:dyDescent="0.2">
      <c r="B9" s="24"/>
      <c r="C9" s="24"/>
      <c r="D9" s="24"/>
      <c r="E9" s="24"/>
      <c r="F9" s="24"/>
      <c r="G9" s="24"/>
      <c r="H9" s="24"/>
      <c r="K9" s="36"/>
      <c r="R9" s="18"/>
    </row>
    <row r="10" spans="1:18" x14ac:dyDescent="0.2">
      <c r="A10" s="19" t="s">
        <v>52</v>
      </c>
      <c r="B10" s="24"/>
      <c r="C10" s="20">
        <v>20.88</v>
      </c>
      <c r="D10" s="24"/>
      <c r="E10" s="24"/>
      <c r="F10" s="24"/>
      <c r="G10" s="24"/>
      <c r="H10" s="24"/>
      <c r="K10" s="36"/>
      <c r="L10" s="164" t="s">
        <v>50</v>
      </c>
      <c r="M10" s="164"/>
      <c r="N10" s="22">
        <v>17.399999999999999</v>
      </c>
      <c r="R10" s="18"/>
    </row>
    <row r="11" spans="1:18" x14ac:dyDescent="0.2">
      <c r="B11" s="24"/>
      <c r="C11" s="24"/>
      <c r="D11" s="24"/>
      <c r="E11" s="24"/>
      <c r="F11" s="24"/>
      <c r="G11" s="24"/>
      <c r="H11" s="24"/>
      <c r="K11" s="36"/>
      <c r="L11" s="164" t="s">
        <v>51</v>
      </c>
      <c r="M11" s="164"/>
      <c r="N11" s="22">
        <v>16.2</v>
      </c>
      <c r="R11" s="18"/>
    </row>
    <row r="12" spans="1:18" x14ac:dyDescent="0.2">
      <c r="B12" s="24"/>
      <c r="C12" s="24"/>
      <c r="D12" s="24"/>
      <c r="E12" s="24"/>
      <c r="F12" s="24"/>
      <c r="G12" s="24"/>
      <c r="H12" s="24"/>
      <c r="K12" s="36"/>
      <c r="R12" s="18"/>
    </row>
    <row r="13" spans="1:18" x14ac:dyDescent="0.2">
      <c r="A13" s="19" t="s">
        <v>38</v>
      </c>
      <c r="B13" s="24"/>
      <c r="C13" s="20">
        <f>B21+B30</f>
        <v>0</v>
      </c>
      <c r="D13" s="24" t="s">
        <v>83</v>
      </c>
      <c r="E13" s="24"/>
      <c r="F13" s="24"/>
      <c r="G13" s="24"/>
      <c r="H13" s="24"/>
      <c r="K13" s="36"/>
      <c r="R13" s="18"/>
    </row>
    <row r="14" spans="1:18" x14ac:dyDescent="0.2">
      <c r="E14" s="24"/>
      <c r="F14" s="24"/>
      <c r="G14" s="24"/>
      <c r="H14" s="24"/>
      <c r="K14" s="37"/>
      <c r="L14" s="169" t="s">
        <v>37</v>
      </c>
      <c r="M14" s="170"/>
      <c r="R14" s="18"/>
    </row>
    <row r="15" spans="1:18" x14ac:dyDescent="0.2">
      <c r="A15" s="19" t="s">
        <v>41</v>
      </c>
      <c r="K15" s="37"/>
      <c r="L15" s="19" t="s">
        <v>39</v>
      </c>
      <c r="M15" s="19" t="s">
        <v>65</v>
      </c>
      <c r="R15" s="18"/>
    </row>
    <row r="16" spans="1:18" x14ac:dyDescent="0.2">
      <c r="K16" s="37"/>
      <c r="L16" s="27" t="s">
        <v>74</v>
      </c>
      <c r="M16" s="6">
        <v>9.36</v>
      </c>
      <c r="R16" s="18"/>
    </row>
    <row r="17" spans="1:19" x14ac:dyDescent="0.2">
      <c r="K17" s="37"/>
      <c r="L17" s="27" t="s">
        <v>40</v>
      </c>
      <c r="M17" s="6">
        <v>10.44</v>
      </c>
      <c r="R17" s="18"/>
    </row>
    <row r="18" spans="1:19" x14ac:dyDescent="0.2">
      <c r="K18" s="36"/>
      <c r="L18" s="9" t="s">
        <v>75</v>
      </c>
      <c r="M18" s="6">
        <v>11.04</v>
      </c>
      <c r="R18" s="18"/>
    </row>
    <row r="19" spans="1:19" x14ac:dyDescent="0.2">
      <c r="K19" s="36"/>
      <c r="L19" s="9" t="s">
        <v>76</v>
      </c>
      <c r="M19" s="6">
        <v>12.72</v>
      </c>
      <c r="R19" s="18"/>
    </row>
    <row r="20" spans="1:19" x14ac:dyDescent="0.2">
      <c r="K20" s="36"/>
      <c r="L20" s="9" t="s">
        <v>42</v>
      </c>
      <c r="M20" s="6">
        <v>84.96</v>
      </c>
      <c r="S20" s="36"/>
    </row>
    <row r="21" spans="1:19" x14ac:dyDescent="0.2">
      <c r="A21" s="3" t="s">
        <v>29</v>
      </c>
      <c r="B21" s="39" t="b">
        <f>IF($B$3="CU 4",C$3*M$16,IF($B$3="CU",C$3*M$17,IF($B$3="MU 4",C$3*M$18,IF($B$3="MU DT",C$3*M$19,IF(B3="LU",C3*M20)))))</f>
        <v>0</v>
      </c>
      <c r="K21" s="36"/>
      <c r="S21" s="36"/>
    </row>
    <row r="22" spans="1:19" x14ac:dyDescent="0.2">
      <c r="A22" s="23"/>
      <c r="B22" s="23"/>
      <c r="K22" s="37"/>
      <c r="L22" s="165" t="s">
        <v>45</v>
      </c>
      <c r="M22" s="165"/>
      <c r="N22" s="165"/>
      <c r="O22" s="165"/>
      <c r="P22" s="165"/>
      <c r="S22" s="36"/>
    </row>
    <row r="23" spans="1:19" x14ac:dyDescent="0.2">
      <c r="K23" s="37"/>
      <c r="L23" s="19" t="s">
        <v>47</v>
      </c>
      <c r="M23" s="53" t="s">
        <v>32</v>
      </c>
      <c r="N23" s="54" t="s">
        <v>33</v>
      </c>
      <c r="O23" s="54" t="s">
        <v>34</v>
      </c>
      <c r="P23" s="54" t="s">
        <v>35</v>
      </c>
      <c r="R23" s="18"/>
    </row>
    <row r="24" spans="1:19" x14ac:dyDescent="0.2">
      <c r="A24" s="19" t="s">
        <v>49</v>
      </c>
      <c r="K24" s="36"/>
      <c r="L24" s="27" t="s">
        <v>74</v>
      </c>
      <c r="M24" s="55">
        <v>6.96</v>
      </c>
      <c r="N24" s="56">
        <v>4.76</v>
      </c>
      <c r="O24" s="56">
        <v>1.48</v>
      </c>
      <c r="P24" s="56">
        <v>0.92</v>
      </c>
      <c r="R24" s="18"/>
    </row>
    <row r="25" spans="1:19" x14ac:dyDescent="0.2">
      <c r="A25" s="3" t="s">
        <v>74</v>
      </c>
      <c r="B25" s="6">
        <f>D4*M24/100 +E4*N24/100 +F4*O24/100 +G4*P24/100</f>
        <v>32492.961200000002</v>
      </c>
      <c r="K25" s="36"/>
      <c r="L25" s="27" t="s">
        <v>40</v>
      </c>
      <c r="M25" s="171">
        <v>4.58</v>
      </c>
      <c r="N25" s="167"/>
      <c r="O25" s="167"/>
      <c r="P25" s="168"/>
      <c r="R25" s="18"/>
    </row>
    <row r="26" spans="1:19" x14ac:dyDescent="0.2">
      <c r="A26" s="3" t="s">
        <v>40</v>
      </c>
      <c r="B26" s="6">
        <f>H4*M25/100</f>
        <v>0</v>
      </c>
      <c r="K26" s="36"/>
      <c r="L26" s="9" t="s">
        <v>75</v>
      </c>
      <c r="M26" s="55">
        <v>6.39</v>
      </c>
      <c r="N26" s="56">
        <v>4.43</v>
      </c>
      <c r="O26" s="56">
        <v>1.46</v>
      </c>
      <c r="P26" s="56">
        <v>0.91</v>
      </c>
      <c r="R26" s="18"/>
    </row>
    <row r="27" spans="1:19" x14ac:dyDescent="0.2">
      <c r="A27" s="3" t="s">
        <v>75</v>
      </c>
      <c r="B27" s="6">
        <f>D4*M26/100 +E4*N26/100 +F4*O26/100 +G4*P26/100</f>
        <v>30692.624199999998</v>
      </c>
      <c r="K27" s="36"/>
      <c r="L27" s="9" t="s">
        <v>76</v>
      </c>
      <c r="M27" s="55">
        <v>4.68</v>
      </c>
      <c r="N27" s="56">
        <v>3.31</v>
      </c>
      <c r="O27" s="56">
        <v>4.68</v>
      </c>
      <c r="P27" s="56">
        <v>3.31</v>
      </c>
      <c r="R27" s="18"/>
    </row>
    <row r="28" spans="1:19" x14ac:dyDescent="0.2">
      <c r="A28" s="3" t="s">
        <v>76</v>
      </c>
      <c r="B28" s="6">
        <f>D4*M27/100 +E4*N27/100 +F4*O27/100 +G4*P27/100</f>
        <v>49158.760800000004</v>
      </c>
      <c r="K28" s="36"/>
      <c r="L28" s="9" t="s">
        <v>42</v>
      </c>
      <c r="M28" s="166">
        <v>1.1499999999999999</v>
      </c>
      <c r="N28" s="167"/>
      <c r="O28" s="167"/>
      <c r="P28" s="168"/>
      <c r="R28" s="18"/>
    </row>
    <row r="29" spans="1:19" x14ac:dyDescent="0.2">
      <c r="A29" s="3" t="s">
        <v>42</v>
      </c>
      <c r="B29" s="6">
        <f>H4*M28/100</f>
        <v>0</v>
      </c>
      <c r="K29" s="45"/>
      <c r="L29" s="46"/>
      <c r="M29" s="46"/>
      <c r="N29" s="46"/>
      <c r="O29" s="46"/>
      <c r="P29" s="46"/>
      <c r="Q29" s="46"/>
      <c r="R29" s="47"/>
    </row>
    <row r="30" spans="1:19" ht="16" customHeight="1" x14ac:dyDescent="0.2">
      <c r="A30" s="3" t="s">
        <v>29</v>
      </c>
      <c r="B30" s="20" t="b">
        <f>IF($B$3="CU 4",B25,IF($B$3="CU",B26,IF($B$3="MU 4",B27,IF($B$3="MU DT",B28,IF(B3="LU",B29)))))</f>
        <v>0</v>
      </c>
    </row>
    <row r="33" spans="1:5" x14ac:dyDescent="0.2">
      <c r="A33" s="19" t="s">
        <v>54</v>
      </c>
    </row>
    <row r="35" spans="1:5" x14ac:dyDescent="0.2">
      <c r="A35" s="6" t="s">
        <v>53</v>
      </c>
      <c r="C35" s="20">
        <f>(C7+C10+B21)*0.2193</f>
        <v>8.1316439999999997</v>
      </c>
    </row>
    <row r="38" spans="1:5" x14ac:dyDescent="0.2">
      <c r="A38" s="19" t="s">
        <v>55</v>
      </c>
    </row>
    <row r="40" spans="1:5" x14ac:dyDescent="0.2">
      <c r="A40" s="6" t="s">
        <v>56</v>
      </c>
      <c r="C40" s="20">
        <f>C48-C45</f>
        <v>2.0394000000000005</v>
      </c>
    </row>
    <row r="43" spans="1:5" x14ac:dyDescent="0.2">
      <c r="A43" s="40" t="s">
        <v>29</v>
      </c>
      <c r="B43" s="24"/>
      <c r="C43" s="24"/>
      <c r="D43" s="24"/>
      <c r="E43" s="24"/>
    </row>
    <row r="45" spans="1:5" x14ac:dyDescent="0.2">
      <c r="A45" s="6" t="s">
        <v>57</v>
      </c>
      <c r="C45" s="41">
        <f>C7+C10+C13</f>
        <v>37.08</v>
      </c>
    </row>
    <row r="48" spans="1:5" x14ac:dyDescent="0.2">
      <c r="A48" s="6" t="s">
        <v>58</v>
      </c>
      <c r="C48" s="41">
        <f>(C7+C10+B21)*1.055+B30*1.2</f>
        <v>39.119399999999999</v>
      </c>
    </row>
    <row r="78" spans="5:11" x14ac:dyDescent="0.2">
      <c r="J78" s="17"/>
      <c r="K78" s="17"/>
    </row>
    <row r="79" spans="5:11" x14ac:dyDescent="0.2">
      <c r="E79" s="16"/>
      <c r="F79" s="17"/>
      <c r="J79" s="17"/>
    </row>
    <row r="80" spans="5:11" x14ac:dyDescent="0.2">
      <c r="J80" s="17"/>
    </row>
  </sheetData>
  <sheetProtection algorithmName="SHA-512" hashValue="u2a3HtVV6iUKh44xD5HO8BNXKcIx3s+vc3Iqd4zaGtfypi1xo+32dQUcqDgkCyNrAFTTWfFUCrvA39he+9LzFw==" saltValue="LTvqSSGmUAxVoHQH3RUXSg==" spinCount="100000" sheet="1" objects="1" scenarios="1"/>
  <mergeCells count="6">
    <mergeCell ref="M28:P28"/>
    <mergeCell ref="L10:M10"/>
    <mergeCell ref="L11:M11"/>
    <mergeCell ref="L14:M14"/>
    <mergeCell ref="L22:P22"/>
    <mergeCell ref="M25:P25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zoomScale="166" workbookViewId="0">
      <selection activeCell="C45" sqref="C45"/>
    </sheetView>
  </sheetViews>
  <sheetFormatPr baseColWidth="10" defaultRowHeight="16" x14ac:dyDescent="0.2"/>
  <cols>
    <col min="1" max="1" width="18.6640625" customWidth="1"/>
    <col min="2" max="2" width="21.1640625" customWidth="1"/>
    <col min="3" max="3" width="42.6640625" customWidth="1"/>
    <col min="4" max="4" width="10.6640625" customWidth="1"/>
  </cols>
  <sheetData>
    <row r="1" spans="1:3" x14ac:dyDescent="0.2">
      <c r="C1" s="4"/>
    </row>
    <row r="2" spans="1:3" x14ac:dyDescent="0.2">
      <c r="A2" s="71" t="s">
        <v>10</v>
      </c>
      <c r="C2" s="9" t="str">
        <f>'Fichier E et S'!D8</f>
        <v>BTSUP</v>
      </c>
    </row>
    <row r="3" spans="1:3" x14ac:dyDescent="0.2">
      <c r="C3" s="4"/>
    </row>
    <row r="4" spans="1:3" x14ac:dyDescent="0.2">
      <c r="A4" s="71" t="s">
        <v>69</v>
      </c>
      <c r="C4" s="31">
        <f>IF(C2="HTA",'Acheminement HTA'!C35,IF(C2="BTsup",'Acheminement BTSUP'!C35,IF(C2="BTinf",'Acheminement BTINF'!C35)))</f>
        <v>3343.2504300000001</v>
      </c>
    </row>
    <row r="5" spans="1:3" x14ac:dyDescent="0.2">
      <c r="C5" s="4"/>
    </row>
    <row r="6" spans="1:3" x14ac:dyDescent="0.2">
      <c r="A6" s="71" t="s">
        <v>70</v>
      </c>
      <c r="C6" s="31">
        <f xml:space="preserve"> IF(C2="BTINF",SUM('Fichier E et S'!B16:G16) / 1000 * 21,SUM('Fichier E et S'!B16:G16) / 1000 * 20.5)</f>
        <v>25568.5635</v>
      </c>
    </row>
    <row r="7" spans="1:3" x14ac:dyDescent="0.2">
      <c r="C7" s="4"/>
    </row>
    <row r="8" spans="1:3" x14ac:dyDescent="0.2">
      <c r="A8" s="71" t="s">
        <v>111</v>
      </c>
      <c r="C8" s="31">
        <f>C10-C6</f>
        <v>9125.6132160000016</v>
      </c>
    </row>
    <row r="9" spans="1:3" x14ac:dyDescent="0.2">
      <c r="C9" s="4"/>
    </row>
    <row r="10" spans="1:3" x14ac:dyDescent="0.2">
      <c r="A10" s="76" t="s">
        <v>58</v>
      </c>
      <c r="C10" s="31">
        <f>IF(C2="BTINF",C4*1.055+C6*1.2,(C4+C6)*1.2)</f>
        <v>34694.176716000002</v>
      </c>
    </row>
    <row r="11" spans="1:3" x14ac:dyDescent="0.2">
      <c r="C11" s="4"/>
    </row>
    <row r="12" spans="1:3" x14ac:dyDescent="0.2">
      <c r="C12" s="4"/>
    </row>
  </sheetData>
  <sheetProtection algorithmName="SHA-512" hashValue="1sM7wbR0m36V9yO5SIfG21CUBXN0LrHZLYMWFKDLRkjtefPqIkODt5O+1X/t2nMA1ERXOsBRjI0bVSKeAV1PyQ==" saltValue="MjpqELc9iFrMPtZE197TP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5"/>
  <sheetViews>
    <sheetView zoomScale="213" workbookViewId="0">
      <selection activeCell="C45" sqref="C45"/>
    </sheetView>
  </sheetViews>
  <sheetFormatPr baseColWidth="10" defaultRowHeight="16" x14ac:dyDescent="0.2"/>
  <cols>
    <col min="2" max="2" width="12.6640625" customWidth="1"/>
    <col min="8" max="8" width="12.33203125" customWidth="1"/>
  </cols>
  <sheetData>
    <row r="1" spans="1:16" x14ac:dyDescent="0.2">
      <c r="A1" s="25"/>
      <c r="B1" s="28" t="s">
        <v>10</v>
      </c>
      <c r="C1" s="26"/>
      <c r="D1" s="28" t="s">
        <v>73</v>
      </c>
      <c r="E1" s="29" t="s">
        <v>72</v>
      </c>
      <c r="F1" s="29" t="s">
        <v>27</v>
      </c>
      <c r="G1" s="26"/>
      <c r="H1" s="28" t="s">
        <v>81</v>
      </c>
      <c r="I1" s="26"/>
      <c r="J1" s="26"/>
      <c r="K1" s="26"/>
      <c r="L1" s="26"/>
      <c r="M1" s="26"/>
      <c r="N1" s="26"/>
      <c r="O1" s="26"/>
      <c r="P1" s="26"/>
    </row>
    <row r="2" spans="1:16" x14ac:dyDescent="0.2">
      <c r="A2" s="25"/>
      <c r="B2" s="27" t="s">
        <v>104</v>
      </c>
      <c r="C2" s="26"/>
      <c r="D2" s="27" t="s">
        <v>40</v>
      </c>
      <c r="E2" s="27" t="s">
        <v>40</v>
      </c>
      <c r="F2" s="27" t="s">
        <v>84</v>
      </c>
      <c r="G2" s="26"/>
      <c r="H2" s="27" t="s">
        <v>79</v>
      </c>
      <c r="I2" s="26"/>
      <c r="J2" s="26"/>
      <c r="K2" s="26"/>
      <c r="L2" s="26"/>
      <c r="M2" s="26"/>
      <c r="N2" s="26"/>
      <c r="O2" s="26"/>
      <c r="P2" s="26"/>
    </row>
    <row r="3" spans="1:16" x14ac:dyDescent="0.2">
      <c r="A3" s="4"/>
      <c r="B3" s="27" t="s">
        <v>105</v>
      </c>
      <c r="C3" s="26"/>
      <c r="D3" s="27" t="s">
        <v>74</v>
      </c>
      <c r="E3" s="27" t="s">
        <v>42</v>
      </c>
      <c r="F3" s="27" t="s">
        <v>85</v>
      </c>
      <c r="G3" s="26"/>
      <c r="H3" s="27" t="s">
        <v>80</v>
      </c>
      <c r="I3" s="26"/>
      <c r="J3" s="26"/>
      <c r="K3" s="26"/>
      <c r="L3" s="26"/>
      <c r="M3" s="26"/>
      <c r="N3" s="26"/>
      <c r="O3" s="26"/>
      <c r="P3" s="26"/>
    </row>
    <row r="4" spans="1:16" x14ac:dyDescent="0.2">
      <c r="A4" s="4"/>
      <c r="B4" s="9" t="s">
        <v>27</v>
      </c>
      <c r="C4" s="26"/>
      <c r="D4" s="9" t="s">
        <v>42</v>
      </c>
      <c r="E4" s="27"/>
      <c r="F4" s="27" t="s">
        <v>86</v>
      </c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2">
      <c r="A5" s="4"/>
      <c r="B5" s="26"/>
      <c r="C5" s="26"/>
      <c r="D5" s="9" t="s">
        <v>76</v>
      </c>
      <c r="E5" s="30"/>
      <c r="F5" s="9" t="s">
        <v>87</v>
      </c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6"/>
      <c r="B6" s="26"/>
      <c r="C6" s="26"/>
      <c r="D6" s="9" t="s">
        <v>75</v>
      </c>
      <c r="E6" s="30"/>
      <c r="F6" s="30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</sheetData>
  <sheetProtection algorithmName="SHA-512" hashValue="zH86nYR3+/bEJnuSpPwCJVZCh/iQ5FxgxGjAm73VDwpQLJD1N2iYjJ0sCGEuD9iaRierios0OosF691wh6xhqg==" saltValue="MHlFW1XuTX2kZVqwV3+U1w==" spinCount="100000" sheet="1" objects="1" scenarios="1"/>
  <conditionalFormatting sqref="G6">
    <cfRule type="cellIs" dxfId="0" priority="1" operator="equal">
      <formula>"BTsup"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1BE29C3F619C45952E02A341328412" ma:contentTypeVersion="14" ma:contentTypeDescription="Crée un document." ma:contentTypeScope="" ma:versionID="4d7f7c4217bd4442e7d921b1ebc15e35">
  <xsd:schema xmlns:xsd="http://www.w3.org/2001/XMLSchema" xmlns:xs="http://www.w3.org/2001/XMLSchema" xmlns:p="http://schemas.microsoft.com/office/2006/metadata/properties" xmlns:ns2="cb43044b-3646-44f8-8d60-4a12656fd8d3" xmlns:ns3="70270c3c-475e-475c-9ab3-93e5b1964dfd" targetNamespace="http://schemas.microsoft.com/office/2006/metadata/properties" ma:root="true" ma:fieldsID="2c1ae9bb49b8be1bd8d5680e56bb6569" ns2:_="" ns3:_="">
    <xsd:import namespace="cb43044b-3646-44f8-8d60-4a12656fd8d3"/>
    <xsd:import namespace="70270c3c-475e-475c-9ab3-93e5b1964d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3044b-3646-44f8-8d60-4a12656fd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f14be298-9333-4352-9fd4-31740fbf1d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270c3c-475e-475c-9ab3-93e5b1964df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99f507f-4ad0-4ccf-8da2-2fd220ebe43b}" ma:internalName="TaxCatchAll" ma:showField="CatchAllData" ma:web="70270c3c-475e-475c-9ab3-93e5b1964d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4EA8F0-3B84-4740-8179-76D75D3E78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F2BA83-ED64-4C1A-AA87-D524456715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3044b-3646-44f8-8d60-4a12656fd8d3"/>
    <ds:schemaRef ds:uri="70270c3c-475e-475c-9ab3-93e5b1964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44eb401-1c30-454c-ae94-78de08e2320c}" enabled="0" method="" siteId="{b44eb401-1c30-454c-ae94-78de08e2320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9</vt:i4>
      </vt:variant>
    </vt:vector>
  </HeadingPairs>
  <TitlesOfParts>
    <vt:vector size="16" baseType="lpstr">
      <vt:lpstr>Fichier E et S</vt:lpstr>
      <vt:lpstr>Fourniture</vt:lpstr>
      <vt:lpstr>Acheminement HTA</vt:lpstr>
      <vt:lpstr>Acheminement BTSUP</vt:lpstr>
      <vt:lpstr>Acheminement BTINF</vt:lpstr>
      <vt:lpstr>Taxe et Contribution</vt:lpstr>
      <vt:lpstr>Table</vt:lpstr>
      <vt:lpstr>BTinf</vt:lpstr>
      <vt:lpstr>BTing</vt:lpstr>
      <vt:lpstr>BTsup</vt:lpstr>
      <vt:lpstr>Cadre</vt:lpstr>
      <vt:lpstr>HTA</vt:lpstr>
      <vt:lpstr>liste_btinf</vt:lpstr>
      <vt:lpstr>liste_btsup</vt:lpstr>
      <vt:lpstr>liste_hta</vt:lpstr>
      <vt:lpstr>liste_segment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Lavirotte</dc:creator>
  <cp:lastModifiedBy>côme Lavirotte</cp:lastModifiedBy>
  <cp:lastPrinted>2021-02-11T17:01:00Z</cp:lastPrinted>
  <dcterms:created xsi:type="dcterms:W3CDTF">2021-01-13T18:22:46Z</dcterms:created>
  <dcterms:modified xsi:type="dcterms:W3CDTF">2025-01-15T13:40:45Z</dcterms:modified>
</cp:coreProperties>
</file>